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jefferyhydrick/Dropbox/TLS/"/>
    </mc:Choice>
  </mc:AlternateContent>
  <xr:revisionPtr revIDLastSave="0" documentId="13_ncr:1_{6ABE1304-12F8-444C-8FB9-2E2C3770BBB6}" xr6:coauthVersionLast="43" xr6:coauthVersionMax="43" xr10:uidLastSave="{00000000-0000-0000-0000-000000000000}"/>
  <bookViews>
    <workbookView xWindow="0" yWindow="460" windowWidth="33600" windowHeight="19100" xr2:uid="{00000000-000D-0000-FFFF-FFFF00000000}"/>
  </bookViews>
  <sheets>
    <sheet name="90.1 2007 Exterior" sheetId="17" r:id="rId1"/>
    <sheet name="90.1 2007 Interior" sheetId="10" r:id="rId2"/>
    <sheet name="ASHRAE Space" sheetId="9" r:id="rId3"/>
    <sheet name="Voltage Drop" sheetId="1" r:id="rId4"/>
    <sheet name="Commercial Service" sheetId="14" r:id="rId5"/>
    <sheet name="Existing Dwelling Service" sheetId="20" r:id="rId6"/>
    <sheet name="Dwelling Service" sheetId="12" r:id="rId7"/>
    <sheet name="Multi-Dwelling Service" sheetId="13" r:id="rId8"/>
    <sheet name="Pad Mount Trans. Isc" sheetId="11" r:id="rId9"/>
    <sheet name="Line Current" sheetId="2" r:id="rId10"/>
    <sheet name="Fire Pump Generator" sheetId="6" r:id="rId11"/>
    <sheet name="Fire Pump Transformer" sheetId="7" r:id="rId12"/>
  </sheets>
  <definedNames>
    <definedName name="AMPACITY">#REF!</definedName>
    <definedName name="CONDUITSIZE">#REF!</definedName>
    <definedName name="CU">#REF!</definedName>
    <definedName name="GND">#REF!</definedName>
    <definedName name="GRC_LABOR">#REF!</definedName>
    <definedName name="GRCPRICE">#REF!</definedName>
    <definedName name="GROUNDWIRE">#REF!</definedName>
    <definedName name="k">#REF!</definedName>
    <definedName name="NO_SETS">#REF!</definedName>
    <definedName name="THW_LABOR">#REF!</definedName>
    <definedName name="THW_WIREAREA">#REF!</definedName>
    <definedName name="THWN_WIREAREA">#REF!</definedName>
    <definedName name="THWPRICE">#REF!</definedName>
    <definedName name="w">#REF!</definedName>
    <definedName name="X">#REF!</definedName>
    <definedName name="Y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2" l="1"/>
  <c r="D3" i="20"/>
  <c r="D4" i="20"/>
  <c r="D5" i="20"/>
  <c r="D6" i="20"/>
  <c r="D7" i="20"/>
  <c r="D10" i="20"/>
  <c r="F10" i="20"/>
  <c r="H10" i="20"/>
  <c r="B2" i="20"/>
  <c r="D11" i="20"/>
  <c r="F11" i="20"/>
  <c r="H11" i="20"/>
  <c r="D12" i="20"/>
  <c r="F12" i="20"/>
  <c r="H12" i="20"/>
  <c r="D13" i="20"/>
  <c r="F13" i="20"/>
  <c r="H13" i="20"/>
  <c r="D14" i="20"/>
  <c r="F14" i="20"/>
  <c r="H14" i="20"/>
  <c r="D15" i="20"/>
  <c r="F15" i="20"/>
  <c r="H15" i="20"/>
  <c r="D16" i="20"/>
  <c r="F16" i="20"/>
  <c r="H16" i="20"/>
  <c r="D17" i="20"/>
  <c r="F17" i="20"/>
  <c r="H17" i="20"/>
  <c r="D18" i="20"/>
  <c r="F18" i="20"/>
  <c r="H18" i="20"/>
  <c r="F19" i="20"/>
  <c r="H19" i="20"/>
  <c r="F20" i="20"/>
  <c r="H20" i="20"/>
  <c r="F21" i="20"/>
  <c r="H21" i="20"/>
  <c r="H22" i="20"/>
  <c r="H29" i="20"/>
  <c r="F24" i="20"/>
  <c r="H24" i="20"/>
  <c r="H30" i="20"/>
  <c r="H31" i="20"/>
  <c r="H34" i="20"/>
  <c r="H35" i="20"/>
  <c r="H32" i="20"/>
  <c r="D4" i="7"/>
  <c r="B11" i="7"/>
  <c r="B12" i="7"/>
  <c r="E12" i="7"/>
  <c r="E13" i="7"/>
  <c r="B16" i="7"/>
  <c r="B17" i="7"/>
  <c r="E17" i="7"/>
  <c r="E18" i="7"/>
  <c r="D4" i="6"/>
  <c r="B11" i="6"/>
  <c r="B12" i="6"/>
  <c r="E12" i="6"/>
  <c r="E13" i="6"/>
  <c r="B16" i="6"/>
  <c r="B17" i="6"/>
  <c r="E17" i="6"/>
  <c r="E18" i="6"/>
  <c r="B5" i="2"/>
  <c r="C5" i="2"/>
  <c r="B11" i="2"/>
  <c r="F11" i="2"/>
  <c r="G11" i="2"/>
  <c r="B12" i="2"/>
  <c r="F12" i="2"/>
  <c r="G12" i="2"/>
  <c r="B13" i="2"/>
  <c r="F13" i="2"/>
  <c r="G13" i="2"/>
  <c r="F16" i="2"/>
  <c r="G16" i="2"/>
  <c r="B16" i="2"/>
  <c r="C16" i="2"/>
  <c r="F17" i="2"/>
  <c r="G17" i="2"/>
  <c r="B17" i="2"/>
  <c r="C17" i="2"/>
  <c r="F18" i="2"/>
  <c r="G18" i="2"/>
  <c r="B18" i="2"/>
  <c r="C18" i="2"/>
  <c r="B21" i="2"/>
  <c r="B22" i="2"/>
  <c r="B23" i="2"/>
  <c r="B6" i="11"/>
  <c r="B8" i="11"/>
  <c r="B10" i="11"/>
  <c r="B19" i="11"/>
  <c r="B21" i="11"/>
  <c r="B23" i="11"/>
  <c r="B3" i="13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9" i="13"/>
  <c r="D22" i="13"/>
  <c r="F22" i="13"/>
  <c r="G22" i="13"/>
  <c r="H22" i="13"/>
  <c r="D23" i="13"/>
  <c r="F23" i="13"/>
  <c r="G23" i="13"/>
  <c r="H23" i="13"/>
  <c r="D24" i="13"/>
  <c r="F24" i="13"/>
  <c r="G24" i="13"/>
  <c r="H24" i="13"/>
  <c r="D25" i="13"/>
  <c r="F25" i="13"/>
  <c r="G25" i="13"/>
  <c r="H25" i="13"/>
  <c r="D26" i="13"/>
  <c r="F26" i="13"/>
  <c r="G26" i="13"/>
  <c r="H26" i="13"/>
  <c r="D27" i="13"/>
  <c r="F27" i="13"/>
  <c r="G27" i="13"/>
  <c r="H27" i="13"/>
  <c r="D28" i="13"/>
  <c r="F28" i="13"/>
  <c r="G28" i="13"/>
  <c r="H28" i="13"/>
  <c r="D29" i="13"/>
  <c r="F29" i="13"/>
  <c r="G29" i="13"/>
  <c r="H29" i="13"/>
  <c r="D30" i="13"/>
  <c r="F30" i="13"/>
  <c r="G30" i="13"/>
  <c r="H30" i="13"/>
  <c r="D31" i="13"/>
  <c r="F31" i="13"/>
  <c r="G31" i="13"/>
  <c r="H31" i="13"/>
  <c r="D32" i="13"/>
  <c r="F32" i="13"/>
  <c r="G32" i="13"/>
  <c r="H32" i="13"/>
  <c r="H35" i="13"/>
  <c r="H36" i="13"/>
  <c r="H38" i="13"/>
  <c r="H39" i="13"/>
  <c r="E41" i="13"/>
  <c r="E42" i="13"/>
  <c r="E44" i="13"/>
  <c r="B2" i="12"/>
  <c r="D4" i="12"/>
  <c r="D5" i="12"/>
  <c r="D6" i="12"/>
  <c r="D7" i="12"/>
  <c r="D10" i="12"/>
  <c r="F10" i="12"/>
  <c r="H10" i="12"/>
  <c r="D11" i="12"/>
  <c r="F11" i="12"/>
  <c r="H11" i="12"/>
  <c r="D12" i="12"/>
  <c r="F12" i="12"/>
  <c r="H12" i="12"/>
  <c r="D13" i="12"/>
  <c r="F13" i="12"/>
  <c r="H13" i="12"/>
  <c r="D14" i="12"/>
  <c r="F14" i="12"/>
  <c r="H14" i="12"/>
  <c r="D15" i="12"/>
  <c r="F15" i="12"/>
  <c r="H15" i="12"/>
  <c r="D16" i="12"/>
  <c r="F16" i="12"/>
  <c r="H16" i="12"/>
  <c r="D17" i="12"/>
  <c r="F17" i="12"/>
  <c r="H17" i="12"/>
  <c r="D18" i="12"/>
  <c r="F18" i="12"/>
  <c r="H18" i="12"/>
  <c r="F19" i="12"/>
  <c r="H19" i="12"/>
  <c r="F20" i="12"/>
  <c r="H20" i="12"/>
  <c r="F21" i="12"/>
  <c r="H21" i="12"/>
  <c r="H22" i="12"/>
  <c r="F24" i="12"/>
  <c r="H24" i="12"/>
  <c r="H29" i="12"/>
  <c r="H30" i="12"/>
  <c r="H31" i="12"/>
  <c r="H32" i="12"/>
  <c r="H34" i="12"/>
  <c r="H35" i="12"/>
  <c r="D8" i="14"/>
  <c r="F8" i="14"/>
  <c r="H8" i="14"/>
  <c r="D9" i="14"/>
  <c r="H9" i="14"/>
  <c r="E10" i="14"/>
  <c r="F10" i="14"/>
  <c r="H10" i="14"/>
  <c r="F11" i="14"/>
  <c r="H11" i="14"/>
  <c r="F12" i="14"/>
  <c r="H12" i="14"/>
  <c r="F13" i="14"/>
  <c r="H13" i="14"/>
  <c r="D14" i="14"/>
  <c r="F14" i="14"/>
  <c r="H14" i="14"/>
  <c r="I16" i="14"/>
  <c r="K16" i="14"/>
  <c r="D22" i="14"/>
  <c r="F22" i="14"/>
  <c r="H22" i="14"/>
  <c r="D23" i="14"/>
  <c r="F23" i="14"/>
  <c r="H23" i="14"/>
  <c r="D24" i="14"/>
  <c r="F24" i="14"/>
  <c r="H24" i="14"/>
  <c r="I26" i="14"/>
  <c r="K26" i="14"/>
  <c r="I29" i="14"/>
  <c r="K29" i="14"/>
  <c r="I31" i="14"/>
  <c r="K31" i="14"/>
  <c r="I33" i="14"/>
  <c r="K33" i="14"/>
  <c r="I35" i="14"/>
  <c r="I36" i="14"/>
  <c r="C4" i="1"/>
  <c r="E4" i="1"/>
  <c r="G4" i="1"/>
  <c r="H4" i="1"/>
  <c r="C5" i="1"/>
  <c r="E5" i="1"/>
  <c r="F5" i="1"/>
  <c r="G5" i="1"/>
  <c r="H5" i="1"/>
  <c r="C6" i="1"/>
  <c r="E6" i="1"/>
  <c r="F6" i="1"/>
  <c r="G6" i="1"/>
  <c r="H6" i="1"/>
  <c r="C7" i="1"/>
  <c r="E7" i="1"/>
  <c r="F7" i="1"/>
  <c r="G7" i="1"/>
  <c r="H7" i="1"/>
  <c r="C8" i="1"/>
  <c r="E8" i="1"/>
  <c r="F8" i="1"/>
  <c r="G8" i="1"/>
  <c r="H8" i="1"/>
  <c r="C9" i="1"/>
  <c r="E9" i="1"/>
  <c r="F9" i="1"/>
  <c r="G9" i="1"/>
  <c r="H9" i="1"/>
  <c r="C10" i="1"/>
  <c r="E10" i="1"/>
  <c r="F10" i="1"/>
  <c r="G10" i="1"/>
  <c r="H10" i="1"/>
  <c r="C11" i="1"/>
  <c r="E11" i="1"/>
  <c r="F11" i="1"/>
  <c r="G11" i="1"/>
  <c r="H11" i="1"/>
  <c r="C12" i="1"/>
  <c r="E12" i="1"/>
  <c r="F12" i="1"/>
  <c r="G12" i="1"/>
  <c r="H12" i="1"/>
  <c r="C13" i="1"/>
  <c r="E13" i="1"/>
  <c r="F13" i="1"/>
  <c r="G13" i="1"/>
  <c r="H13" i="1"/>
  <c r="C14" i="1"/>
  <c r="E14" i="1"/>
  <c r="F14" i="1"/>
  <c r="G14" i="1"/>
  <c r="H14" i="1"/>
  <c r="C15" i="1"/>
  <c r="E15" i="1"/>
  <c r="F15" i="1"/>
  <c r="G15" i="1"/>
  <c r="H15" i="1"/>
  <c r="C16" i="1"/>
  <c r="E16" i="1"/>
  <c r="F16" i="1"/>
  <c r="G16" i="1"/>
  <c r="H16" i="1"/>
  <c r="C17" i="1"/>
  <c r="E17" i="1"/>
  <c r="F17" i="1"/>
  <c r="G17" i="1"/>
  <c r="H17" i="1"/>
  <c r="C18" i="1"/>
  <c r="E18" i="1"/>
  <c r="F18" i="1"/>
  <c r="G18" i="1"/>
  <c r="H18" i="1"/>
  <c r="D20" i="1"/>
  <c r="B31" i="1"/>
  <c r="B32" i="1"/>
  <c r="F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B25" i="9"/>
  <c r="C25" i="9"/>
  <c r="D25" i="9"/>
  <c r="F25" i="9"/>
  <c r="F26" i="9"/>
  <c r="F27" i="9"/>
  <c r="F31" i="9"/>
  <c r="F32" i="9"/>
  <c r="F33" i="9"/>
  <c r="F34" i="9"/>
  <c r="F35" i="9"/>
  <c r="F36" i="9"/>
  <c r="F37" i="9"/>
  <c r="B46" i="9"/>
  <c r="B53" i="9"/>
  <c r="H58" i="9"/>
  <c r="B66" i="9"/>
  <c r="H67" i="9"/>
  <c r="E68" i="9"/>
  <c r="E78" i="9"/>
  <c r="H78" i="9"/>
  <c r="H86" i="9"/>
  <c r="E100" i="9"/>
  <c r="H102" i="9"/>
  <c r="B111" i="9"/>
  <c r="E117" i="9"/>
  <c r="I2" i="10"/>
  <c r="L2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I3" i="10"/>
  <c r="L3" i="10"/>
  <c r="I4" i="10"/>
  <c r="L4" i="10"/>
  <c r="I5" i="10"/>
  <c r="D7" i="17"/>
  <c r="D11" i="17"/>
  <c r="D14" i="17"/>
  <c r="D15" i="17"/>
  <c r="D18" i="17"/>
  <c r="D22" i="17"/>
  <c r="D23" i="17"/>
  <c r="D27" i="17"/>
  <c r="D31" i="17"/>
  <c r="D34" i="17"/>
  <c r="D36" i="17"/>
  <c r="D38" i="17"/>
  <c r="D44" i="17"/>
  <c r="G44" i="17"/>
  <c r="I44" i="17"/>
  <c r="D45" i="17"/>
  <c r="G45" i="17"/>
  <c r="I45" i="17"/>
  <c r="D46" i="17"/>
  <c r="G46" i="17"/>
  <c r="I46" i="17"/>
  <c r="D47" i="17"/>
  <c r="G47" i="17"/>
  <c r="I47" i="17"/>
  <c r="D48" i="17"/>
  <c r="G48" i="17"/>
  <c r="I48" i="17"/>
  <c r="D49" i="17"/>
  <c r="G49" i="17"/>
  <c r="I49" i="17"/>
  <c r="D50" i="17"/>
  <c r="G50" i="17"/>
  <c r="I50" i="17"/>
  <c r="D51" i="17"/>
  <c r="G51" i="17"/>
  <c r="I51" i="17"/>
  <c r="D52" i="17"/>
  <c r="G52" i="17"/>
  <c r="I52" i="17"/>
  <c r="D53" i="17"/>
  <c r="G53" i="17"/>
  <c r="I53" i="17"/>
  <c r="D54" i="17"/>
  <c r="G54" i="17"/>
  <c r="I54" i="17"/>
  <c r="D55" i="17"/>
  <c r="G55" i="17"/>
  <c r="I55" i="17"/>
  <c r="D56" i="17"/>
  <c r="G56" i="17"/>
  <c r="I56" i="17"/>
  <c r="D57" i="17"/>
  <c r="G57" i="17"/>
  <c r="G59" i="17"/>
  <c r="I59" i="17"/>
</calcChain>
</file>

<file path=xl/sharedStrings.xml><?xml version="1.0" encoding="utf-8"?>
<sst xmlns="http://schemas.openxmlformats.org/spreadsheetml/2006/main" count="666" uniqueCount="297">
  <si>
    <t>Fixture #</t>
  </si>
  <si>
    <t>K</t>
  </si>
  <si>
    <t>Distance</t>
  </si>
  <si>
    <t>VD</t>
  </si>
  <si>
    <t>% VD</t>
  </si>
  <si>
    <t>CM</t>
  </si>
  <si>
    <t>VA</t>
  </si>
  <si>
    <t>Total Dist - Fixture</t>
  </si>
  <si>
    <t>Total VA</t>
  </si>
  <si>
    <t>#12</t>
  </si>
  <si>
    <t>#6</t>
  </si>
  <si>
    <t>#8</t>
  </si>
  <si>
    <t>#10</t>
  </si>
  <si>
    <t>Voltage</t>
  </si>
  <si>
    <t>AWG</t>
  </si>
  <si>
    <t>User Data</t>
  </si>
  <si>
    <t>Total VA:</t>
  </si>
  <si>
    <t>1P (2) or 3P (1):</t>
  </si>
  <si>
    <t>Note: Assume Balanced Load for 3P</t>
  </si>
  <si>
    <t>Lgt #1</t>
  </si>
  <si>
    <t>Ltg #2</t>
  </si>
  <si>
    <t>Ballast VA</t>
  </si>
  <si>
    <t>Ballast Voltage</t>
  </si>
  <si>
    <t># Fixtures</t>
  </si>
  <si>
    <t>A-B</t>
  </si>
  <si>
    <t>B-C</t>
  </si>
  <si>
    <t>C-A</t>
  </si>
  <si>
    <t>Phase Current</t>
  </si>
  <si>
    <t>Angle</t>
  </si>
  <si>
    <t>x</t>
  </si>
  <si>
    <t>y</t>
  </si>
  <si>
    <t>Line Current</t>
  </si>
  <si>
    <t>Aa</t>
  </si>
  <si>
    <t>Bb</t>
  </si>
  <si>
    <t>Cc</t>
  </si>
  <si>
    <t>Cont. Line Current</t>
  </si>
  <si>
    <t>3P Voltage Drop</t>
  </si>
  <si>
    <t>Series 1P Voltage Drop</t>
  </si>
  <si>
    <t>Fire Pump Calculator</t>
  </si>
  <si>
    <t>Motor HP</t>
  </si>
  <si>
    <t>Motor FLC</t>
  </si>
  <si>
    <t>Min. Amp.</t>
  </si>
  <si>
    <t>Distance to Generator</t>
  </si>
  <si>
    <t>Locked-Rotor Current</t>
  </si>
  <si>
    <t>Solid State Controller</t>
  </si>
  <si>
    <t>Fire Pump Controller Calculation</t>
  </si>
  <si>
    <t>Voltage Drop</t>
  </si>
  <si>
    <t>Allowed 15% VD to Controller</t>
  </si>
  <si>
    <t>Cmil Selected</t>
  </si>
  <si>
    <t>Cmil</t>
  </si>
  <si>
    <t>% Voltage Drop</t>
  </si>
  <si>
    <t>Motor Terminal Calculation</t>
  </si>
  <si>
    <t>Allowed 5% VD to Motor Terminals</t>
  </si>
  <si>
    <t>Cmil @ 115% FLC</t>
  </si>
  <si>
    <t>Electric Fire Pump Controllers</t>
  </si>
  <si>
    <t>% Starting Current</t>
  </si>
  <si>
    <t>Table 430.250 - Full Load Current - 3P</t>
  </si>
  <si>
    <t>Table 430.251(B) - Maximum Locked Rotor Current</t>
  </si>
  <si>
    <t>Full Voltage</t>
  </si>
  <si>
    <t>Table 430.251 (B)</t>
  </si>
  <si>
    <t>HP</t>
  </si>
  <si>
    <t>208V</t>
  </si>
  <si>
    <t>460V</t>
  </si>
  <si>
    <t>Part Winding</t>
  </si>
  <si>
    <t>Ampac.</t>
  </si>
  <si>
    <t>Wye-Delta Open Transition</t>
  </si>
  <si>
    <t>Circular Mils</t>
  </si>
  <si>
    <t>60/75 C</t>
  </si>
  <si>
    <t>Wye-Delta Closed Transition</t>
  </si>
  <si>
    <t>#3</t>
  </si>
  <si>
    <t>Primary Resistance</t>
  </si>
  <si>
    <t>#2</t>
  </si>
  <si>
    <t>Auto-Transformer 50%, 65%, 80% Taps</t>
  </si>
  <si>
    <t>150, 252, 384</t>
  </si>
  <si>
    <t>#1</t>
  </si>
  <si>
    <t>Solid State</t>
  </si>
  <si>
    <t>#1/0</t>
  </si>
  <si>
    <t>#2/0</t>
  </si>
  <si>
    <t>#3/0</t>
  </si>
  <si>
    <t>#4/0</t>
  </si>
  <si>
    <t>250 kcmil</t>
  </si>
  <si>
    <t>350 kcmil</t>
  </si>
  <si>
    <t>500 kcmil</t>
  </si>
  <si>
    <t>Distance to Transformer</t>
  </si>
  <si>
    <t>Line Current Calculator - 3 phase delta loads</t>
  </si>
  <si>
    <t>90.1-2004 - Space-by-Space Method - Interior</t>
  </si>
  <si>
    <t>Space Type</t>
  </si>
  <si>
    <t>1st Floor Ft2</t>
  </si>
  <si>
    <t>Allowed VA/Ft2</t>
  </si>
  <si>
    <t>Electrical / Mechanical</t>
  </si>
  <si>
    <t>Lobby</t>
  </si>
  <si>
    <t>Restrooms</t>
  </si>
  <si>
    <t>Stairs</t>
  </si>
  <si>
    <t>Corridor</t>
  </si>
  <si>
    <t>Food Preparation</t>
  </si>
  <si>
    <t>Multi-Purpose</t>
  </si>
  <si>
    <t>Office</t>
  </si>
  <si>
    <t>Storage</t>
  </si>
  <si>
    <t>Garage</t>
  </si>
  <si>
    <t>Total Ft2</t>
  </si>
  <si>
    <t>Allowed Total VA/Ft2</t>
  </si>
  <si>
    <t>Connected Lighting</t>
  </si>
  <si>
    <t>Ft2</t>
  </si>
  <si>
    <t>Total VA/Ft2</t>
  </si>
  <si>
    <t>Total Allowed VA</t>
  </si>
  <si>
    <t>Total Allowed VA:</t>
  </si>
  <si>
    <t>Total Connected VA:</t>
  </si>
  <si>
    <t>VA/FT2:</t>
  </si>
  <si>
    <t>Building FT2:</t>
  </si>
  <si>
    <t>Fixture Types:</t>
  </si>
  <si>
    <t>Quantity</t>
  </si>
  <si>
    <t>VA / Fixture Type</t>
  </si>
  <si>
    <t>Over (Red) / Under (Green) :</t>
  </si>
  <si>
    <t>VA/ FT2:</t>
  </si>
  <si>
    <t>Transformer % Impedance</t>
  </si>
  <si>
    <t>Multiplier =100/% Impedance</t>
  </si>
  <si>
    <t>Isc =(Ifl*Multiplier)</t>
  </si>
  <si>
    <t>Vll</t>
  </si>
  <si>
    <t>kVA (Transformer)</t>
  </si>
  <si>
    <t>Ifl =(kVA*1000)/(Vll*1.732)</t>
  </si>
  <si>
    <t>Ifl =(kVA*1000)/Vll</t>
  </si>
  <si>
    <t>Single-Phase Pad Mount Transformer Isc</t>
  </si>
  <si>
    <t>Three-Phase Pad Mount Transformer Isc</t>
  </si>
  <si>
    <t>Tradable Surfaces</t>
  </si>
  <si>
    <t>Uncovered Parking Areas</t>
  </si>
  <si>
    <t>Area</t>
  </si>
  <si>
    <t>Parking Lots</t>
  </si>
  <si>
    <t>Building Grounds</t>
  </si>
  <si>
    <t>Linear Ft</t>
  </si>
  <si>
    <t>Walkways &lt; 10' Wide</t>
  </si>
  <si>
    <t>Walkways &gt; 10' Wide</t>
  </si>
  <si>
    <t>Plaza Areas</t>
  </si>
  <si>
    <t>Stairways</t>
  </si>
  <si>
    <t>Building Entrances / Exits</t>
  </si>
  <si>
    <t>Main Entries</t>
  </si>
  <si>
    <t>Other Doors</t>
  </si>
  <si>
    <t>Canopies and Overhangs</t>
  </si>
  <si>
    <t>Canopies</t>
  </si>
  <si>
    <t>Outdoor Sales</t>
  </si>
  <si>
    <t>Open Areas</t>
  </si>
  <si>
    <t>Street Frontage</t>
  </si>
  <si>
    <t>LEED 21%</t>
  </si>
  <si>
    <t>Current Savings:</t>
  </si>
  <si>
    <t>Total Units</t>
  </si>
  <si>
    <t>Demand Notes</t>
  </si>
  <si>
    <t>Load</t>
  </si>
  <si>
    <t>Units</t>
  </si>
  <si>
    <t>Mult</t>
  </si>
  <si>
    <t>Ext</t>
  </si>
  <si>
    <t>DF</t>
  </si>
  <si>
    <t>Total</t>
  </si>
  <si>
    <t>Lighting</t>
  </si>
  <si>
    <t>VA/FT^2</t>
  </si>
  <si>
    <t>ft^2</t>
  </si>
  <si>
    <t>Small Appliance BC</t>
  </si>
  <si>
    <t>ea</t>
  </si>
  <si>
    <t>Laundry BC</t>
  </si>
  <si>
    <t>Range</t>
  </si>
  <si>
    <t>Dryer</t>
  </si>
  <si>
    <t>Microwave</t>
  </si>
  <si>
    <t>Refrigerator</t>
  </si>
  <si>
    <t>Disposer</t>
  </si>
  <si>
    <t>Dishwasher</t>
  </si>
  <si>
    <t>Water Heater</t>
  </si>
  <si>
    <t>Total VA Without Heat</t>
  </si>
  <si>
    <t>Mechanical 3-phase</t>
  </si>
  <si>
    <t>Service Totals:</t>
  </si>
  <si>
    <t>First 10KVA @100%</t>
  </si>
  <si>
    <t>Remaining @ 40%</t>
  </si>
  <si>
    <t>HVAC @ 100%</t>
  </si>
  <si>
    <t>Total Demand</t>
  </si>
  <si>
    <t>Area Ft2</t>
  </si>
  <si>
    <t>Type A Units</t>
  </si>
  <si>
    <t>Type B Units</t>
  </si>
  <si>
    <t>Type C Units</t>
  </si>
  <si>
    <t>Type D Units</t>
  </si>
  <si>
    <t>Amps @ 240V, 1P</t>
  </si>
  <si>
    <t>Washer / Dryer</t>
  </si>
  <si>
    <t>Amps @ 208V, 3P</t>
  </si>
  <si>
    <t>Equipment Size</t>
  </si>
  <si>
    <t>Device</t>
  </si>
  <si>
    <t>Width</t>
  </si>
  <si>
    <t>Depth</t>
  </si>
  <si>
    <t>1200A Main Section</t>
  </si>
  <si>
    <t>200A (3) Meter Center</t>
  </si>
  <si>
    <t>Ft.</t>
  </si>
  <si>
    <t>B</t>
  </si>
  <si>
    <t>C</t>
  </si>
  <si>
    <t>A</t>
  </si>
  <si>
    <t>D</t>
  </si>
  <si>
    <t>E</t>
  </si>
  <si>
    <t>F</t>
  </si>
  <si>
    <t>G</t>
  </si>
  <si>
    <t>H</t>
  </si>
  <si>
    <t>I</t>
  </si>
  <si>
    <t>J</t>
  </si>
  <si>
    <t>L</t>
  </si>
  <si>
    <t>M</t>
  </si>
  <si>
    <t>N</t>
  </si>
  <si>
    <t>Optional Single Dwelling Service Calculation - 220.30</t>
  </si>
  <si>
    <t>Optional Service Calculation For Multi-Dwelling Units - Service #1</t>
  </si>
  <si>
    <t>3-5</t>
  </si>
  <si>
    <t># of Units</t>
  </si>
  <si>
    <t>6-7</t>
  </si>
  <si>
    <t>8-10</t>
  </si>
  <si>
    <t>12-13</t>
  </si>
  <si>
    <t>14-15</t>
  </si>
  <si>
    <t>16-17</t>
  </si>
  <si>
    <t>18-20</t>
  </si>
  <si>
    <t>22-23</t>
  </si>
  <si>
    <t>24-25</t>
  </si>
  <si>
    <t>26-27</t>
  </si>
  <si>
    <t>28-30</t>
  </si>
  <si>
    <t>31</t>
  </si>
  <si>
    <t>32-33</t>
  </si>
  <si>
    <t>34-36</t>
  </si>
  <si>
    <t>37-38</t>
  </si>
  <si>
    <t>Demand Factor</t>
  </si>
  <si>
    <t>W</t>
  </si>
  <si>
    <t>Total:</t>
  </si>
  <si>
    <t>Water Heat:</t>
  </si>
  <si>
    <t>ft^2 Total</t>
  </si>
  <si>
    <t>lump</t>
  </si>
  <si>
    <t>Sq ft</t>
  </si>
  <si>
    <t>VA/ft sq:</t>
  </si>
  <si>
    <t>H Branch:</t>
  </si>
  <si>
    <t>Mechanical</t>
  </si>
  <si>
    <t>Motors</t>
  </si>
  <si>
    <t>Other</t>
  </si>
  <si>
    <t>M Branch</t>
  </si>
  <si>
    <t>Building</t>
  </si>
  <si>
    <t>H Branch</t>
  </si>
  <si>
    <t>All Floors:</t>
  </si>
  <si>
    <t>Elevator #1:</t>
  </si>
  <si>
    <t>Elevator #2:</t>
  </si>
  <si>
    <t>Receptacles</t>
  </si>
  <si>
    <t>Total Sq Ft:</t>
  </si>
  <si>
    <t>Title</t>
  </si>
  <si>
    <t>TA</t>
  </si>
  <si>
    <t>TB</t>
  </si>
  <si>
    <t>Gymnasium</t>
  </si>
  <si>
    <t>Conference / Convention</t>
  </si>
  <si>
    <t>Natatorium</t>
  </si>
  <si>
    <t>Classrooms</t>
  </si>
  <si>
    <t>Offices</t>
  </si>
  <si>
    <t>Conference</t>
  </si>
  <si>
    <t>Elect / Mech / AV</t>
  </si>
  <si>
    <t>Locker / Dressing</t>
  </si>
  <si>
    <t>Exercise Area</t>
  </si>
  <si>
    <t>Workshop</t>
  </si>
  <si>
    <t>Theater</t>
  </si>
  <si>
    <t>Corridors</t>
  </si>
  <si>
    <t>Laundry</t>
  </si>
  <si>
    <t>Lounge</t>
  </si>
  <si>
    <t>Nursery</t>
  </si>
  <si>
    <t>Stair</t>
  </si>
  <si>
    <t>Storage / Janitor</t>
  </si>
  <si>
    <t>Dining</t>
  </si>
  <si>
    <t>90.1-2004 - Additional Interior Lighting Power</t>
  </si>
  <si>
    <t>Used VA</t>
  </si>
  <si>
    <t>Fixture Types</t>
  </si>
  <si>
    <t>LEED 14%</t>
  </si>
  <si>
    <t>Voltage (3P):</t>
  </si>
  <si>
    <t>#4</t>
  </si>
  <si>
    <t>1000 kcmil</t>
  </si>
  <si>
    <t>Amp 60</t>
  </si>
  <si>
    <t>Amp 75</t>
  </si>
  <si>
    <t>BusDuct:</t>
  </si>
  <si>
    <t>90.1-2007 - Whole Building Method - Interior</t>
  </si>
  <si>
    <t xml:space="preserve"> Allowance</t>
  </si>
  <si>
    <t>90.1-2007 - Whole Building Method - Exterior</t>
  </si>
  <si>
    <t>Calculation Date:</t>
  </si>
  <si>
    <t>Per Unit Allowance</t>
  </si>
  <si>
    <t>VA/Ft2</t>
  </si>
  <si>
    <t xml:space="preserve">VA/Ft </t>
  </si>
  <si>
    <t>Exterior Fixtures</t>
  </si>
  <si>
    <t xml:space="preserve">Type </t>
  </si>
  <si>
    <t>VA / Fixture</t>
  </si>
  <si>
    <t>LEED ALLOWANCE</t>
  </si>
  <si>
    <t>ASHRAE ALLOWANCE</t>
  </si>
  <si>
    <t>M Branch:</t>
  </si>
  <si>
    <t>T(12)T(16)T(20</t>
  </si>
  <si>
    <t>(4)(1)(1)</t>
  </si>
  <si>
    <t>TC</t>
  </si>
  <si>
    <t>TD</t>
  </si>
  <si>
    <t>TE</t>
  </si>
  <si>
    <t>TF</t>
  </si>
  <si>
    <t>N/A</t>
  </si>
  <si>
    <t>Theatrical Lighting</t>
  </si>
  <si>
    <t>Assembly</t>
  </si>
  <si>
    <t>Total Lumens</t>
  </si>
  <si>
    <t>% Up</t>
  </si>
  <si>
    <t>90-180 Lumens</t>
  </si>
  <si>
    <t>Per Fixture / LED ALT</t>
  </si>
  <si>
    <t>First 8KVA @100%</t>
  </si>
  <si>
    <t>TBD</t>
  </si>
  <si>
    <t>Optional Existing Single Dwelling Service Calculation - 220.30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</si>
</sst>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49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</font>
    <font>
      <sz val="10"/>
      <name val="Arial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b/>
      <sz val="10"/>
      <color indexed="14"/>
      <name val="Arial"/>
      <family val="2"/>
    </font>
    <font>
      <sz val="10"/>
      <color indexed="14"/>
      <name val="Arial"/>
      <family val="2"/>
    </font>
    <font>
      <b/>
      <sz val="10"/>
      <color indexed="19"/>
      <name val="Arial"/>
      <family val="2"/>
    </font>
    <font>
      <b/>
      <sz val="10"/>
      <color indexed="12"/>
      <name val="Arial"/>
      <family val="2"/>
    </font>
    <font>
      <b/>
      <sz val="10"/>
      <color indexed="12"/>
      <name val="Univers (WN)"/>
    </font>
    <font>
      <sz val="10"/>
      <color indexed="12"/>
      <name val="Arial"/>
    </font>
    <font>
      <b/>
      <sz val="10"/>
      <color indexed="57"/>
      <name val="Arial"/>
      <family val="2"/>
    </font>
    <font>
      <sz val="8"/>
      <name val="Arial"/>
      <family val="2"/>
    </font>
    <font>
      <sz val="10"/>
      <color indexed="10"/>
      <name val="Arial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57"/>
      <name val="Arial"/>
      <family val="2"/>
    </font>
    <font>
      <sz val="10"/>
      <color indexed="10"/>
      <name val="Arial"/>
    </font>
    <font>
      <b/>
      <u/>
      <sz val="11"/>
      <name val="Arial"/>
      <family val="2"/>
    </font>
    <font>
      <b/>
      <u/>
      <sz val="12"/>
      <name val="Arial"/>
      <family val="2"/>
    </font>
    <font>
      <b/>
      <u/>
      <sz val="11"/>
      <color indexed="56"/>
      <name val="Arial"/>
      <family val="2"/>
    </font>
    <font>
      <b/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indexed="50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42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4" borderId="0" applyNumberFormat="0" applyBorder="0" applyAlignment="0" applyProtection="0"/>
    <xf numFmtId="0" fontId="28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4" borderId="0" applyNumberFormat="0" applyBorder="0" applyAlignment="0" applyProtection="0"/>
    <xf numFmtId="0" fontId="29" fillId="6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8" borderId="0" applyNumberFormat="0" applyBorder="0" applyAlignment="0" applyProtection="0"/>
    <xf numFmtId="0" fontId="29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1" applyNumberFormat="0" applyAlignment="0" applyProtection="0"/>
    <xf numFmtId="0" fontId="32" fillId="17" borderId="2" applyNumberFormat="0" applyAlignment="0" applyProtection="0"/>
    <xf numFmtId="0" fontId="33" fillId="0" borderId="0" applyNumberFormat="0" applyFill="0" applyBorder="0" applyAlignment="0" applyProtection="0"/>
    <xf numFmtId="0" fontId="34" fillId="6" borderId="0" applyNumberFormat="0" applyBorder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8" fillId="7" borderId="1" applyNumberFormat="0" applyAlignment="0" applyProtection="0"/>
    <xf numFmtId="0" fontId="39" fillId="0" borderId="6" applyNumberFormat="0" applyFill="0" applyAlignment="0" applyProtection="0"/>
    <xf numFmtId="0" fontId="40" fillId="7" borderId="0" applyNumberFormat="0" applyBorder="0" applyAlignment="0" applyProtection="0"/>
    <xf numFmtId="0" fontId="3" fillId="4" borderId="7" applyNumberFormat="0" applyFont="0" applyAlignment="0" applyProtection="0"/>
    <xf numFmtId="0" fontId="41" fillId="16" borderId="8" applyNumberFormat="0" applyAlignment="0" applyProtection="0"/>
    <xf numFmtId="0" fontId="42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39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164" fontId="4" fillId="0" borderId="0" xfId="0" applyNumberFormat="1" applyFont="1" applyFill="1" applyBorder="1" applyAlignment="1" applyProtection="1"/>
    <xf numFmtId="2" fontId="4" fillId="0" borderId="0" xfId="0" applyNumberFormat="1" applyFont="1" applyFill="1" applyBorder="1" applyAlignment="1" applyProtection="1"/>
    <xf numFmtId="0" fontId="6" fillId="18" borderId="0" xfId="0" applyFont="1" applyFill="1"/>
    <xf numFmtId="0" fontId="5" fillId="18" borderId="0" xfId="0" applyFont="1" applyFill="1"/>
    <xf numFmtId="0" fontId="5" fillId="18" borderId="0" xfId="0" applyNumberFormat="1" applyFont="1" applyFill="1" applyBorder="1" applyAlignment="1" applyProtection="1"/>
    <xf numFmtId="0" fontId="0" fillId="0" borderId="0" xfId="0" applyAlignment="1">
      <alignment horizontal="left"/>
    </xf>
    <xf numFmtId="4" fontId="0" fillId="0" borderId="0" xfId="0" applyNumberFormat="1" applyAlignment="1">
      <alignment horizontal="center"/>
    </xf>
    <xf numFmtId="4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6" fillId="18" borderId="0" xfId="0" applyNumberFormat="1" applyFont="1" applyFill="1" applyBorder="1" applyAlignment="1" applyProtection="1"/>
    <xf numFmtId="0" fontId="7" fillId="0" borderId="0" xfId="0" applyFont="1"/>
    <xf numFmtId="2" fontId="2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4" fillId="0" borderId="0" xfId="0" applyFont="1"/>
    <xf numFmtId="0" fontId="15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2" fontId="13" fillId="0" borderId="0" xfId="0" applyNumberFormat="1" applyFont="1" applyAlignment="1">
      <alignment horizontal="right"/>
    </xf>
    <xf numFmtId="165" fontId="0" fillId="0" borderId="0" xfId="0" applyNumberFormat="1"/>
    <xf numFmtId="165" fontId="2" fillId="0" borderId="0" xfId="0" applyNumberFormat="1" applyFont="1"/>
    <xf numFmtId="165" fontId="3" fillId="0" borderId="0" xfId="0" applyNumberFormat="1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10" fontId="17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4" fillId="0" borderId="0" xfId="0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4" fillId="0" borderId="0" xfId="0" quotePrefix="1" applyFont="1" applyAlignment="1">
      <alignment horizontal="center" vertical="center"/>
    </xf>
    <xf numFmtId="16" fontId="0" fillId="0" borderId="0" xfId="0" quotePrefix="1" applyNumberFormat="1" applyAlignment="1">
      <alignment horizontal="left"/>
    </xf>
    <xf numFmtId="0" fontId="0" fillId="0" borderId="0" xfId="0" quotePrefix="1" applyAlignment="1">
      <alignment horizontal="left"/>
    </xf>
    <xf numFmtId="0" fontId="25" fillId="0" borderId="0" xfId="0" applyFont="1"/>
    <xf numFmtId="0" fontId="24" fillId="0" borderId="0" xfId="0" applyFont="1"/>
    <xf numFmtId="0" fontId="24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27" fillId="0" borderId="0" xfId="0" applyFont="1"/>
    <xf numFmtId="9" fontId="0" fillId="0" borderId="0" xfId="0" applyNumberFormat="1"/>
    <xf numFmtId="1" fontId="0" fillId="0" borderId="0" xfId="0" applyNumberFormat="1"/>
    <xf numFmtId="1" fontId="2" fillId="0" borderId="0" xfId="0" applyNumberFormat="1" applyFont="1"/>
    <xf numFmtId="0" fontId="27" fillId="0" borderId="0" xfId="0" applyFont="1" applyAlignment="1">
      <alignment horizontal="right"/>
    </xf>
    <xf numFmtId="1" fontId="27" fillId="0" borderId="0" xfId="0" applyNumberFormat="1" applyFont="1"/>
    <xf numFmtId="0" fontId="19" fillId="0" borderId="0" xfId="0" applyFont="1"/>
    <xf numFmtId="0" fontId="21" fillId="0" borderId="0" xfId="0" applyFont="1"/>
    <xf numFmtId="14" fontId="0" fillId="0" borderId="0" xfId="0" applyNumberFormat="1"/>
    <xf numFmtId="0" fontId="44" fillId="0" borderId="0" xfId="0" applyFont="1" applyAlignment="1">
      <alignment horizontal="center"/>
    </xf>
    <xf numFmtId="0" fontId="46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 wrapText="1"/>
    </xf>
    <xf numFmtId="1" fontId="46" fillId="0" borderId="0" xfId="0" quotePrefix="1" applyNumberFormat="1" applyFont="1" applyBorder="1" applyAlignment="1">
      <alignment horizontal="center" vertical="center"/>
    </xf>
    <xf numFmtId="14" fontId="46" fillId="0" borderId="0" xfId="0" applyNumberFormat="1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9" fontId="3" fillId="0" borderId="0" xfId="0" applyNumberFormat="1" applyFont="1"/>
    <xf numFmtId="0" fontId="48" fillId="0" borderId="0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66"/>
  <sheetViews>
    <sheetView tabSelected="1" workbookViewId="0"/>
  </sheetViews>
  <sheetFormatPr baseColWidth="10" defaultColWidth="8.83203125" defaultRowHeight="13"/>
  <cols>
    <col min="1" max="1" width="23" customWidth="1"/>
    <col min="2" max="2" width="20.5" customWidth="1"/>
    <col min="3" max="3" width="22.33203125" customWidth="1"/>
    <col min="4" max="4" width="15.6640625" customWidth="1"/>
    <col min="5" max="5" width="22.5" customWidth="1"/>
    <col min="7" max="7" width="13.6640625" customWidth="1"/>
  </cols>
  <sheetData>
    <row r="2" spans="1:7">
      <c r="A2" s="32" t="s">
        <v>270</v>
      </c>
      <c r="D2" t="s">
        <v>271</v>
      </c>
      <c r="E2" s="83">
        <v>41729</v>
      </c>
    </row>
    <row r="4" spans="1:7">
      <c r="A4" s="5" t="s">
        <v>123</v>
      </c>
    </row>
    <row r="5" spans="1:7">
      <c r="A5" s="5" t="s">
        <v>124</v>
      </c>
      <c r="C5" s="1" t="s">
        <v>272</v>
      </c>
      <c r="D5" s="1" t="s">
        <v>269</v>
      </c>
    </row>
    <row r="6" spans="1:7">
      <c r="A6" s="5"/>
      <c r="B6" s="1" t="s">
        <v>125</v>
      </c>
      <c r="C6" s="1" t="s">
        <v>273</v>
      </c>
      <c r="D6" s="1" t="s">
        <v>6</v>
      </c>
      <c r="E6" s="36"/>
      <c r="F6" s="36"/>
    </row>
    <row r="7" spans="1:7">
      <c r="A7" s="28" t="s">
        <v>126</v>
      </c>
      <c r="B7" s="1">
        <v>0</v>
      </c>
      <c r="C7" s="1">
        <v>0.15</v>
      </c>
      <c r="D7" s="18">
        <f>B7*C7</f>
        <v>0</v>
      </c>
      <c r="E7" s="35"/>
      <c r="F7" s="45"/>
    </row>
    <row r="8" spans="1:7">
      <c r="A8" s="28"/>
      <c r="B8" s="1"/>
      <c r="C8" s="1"/>
      <c r="D8" s="18"/>
      <c r="E8" s="35"/>
      <c r="F8" s="45"/>
    </row>
    <row r="9" spans="1:7">
      <c r="A9" s="5" t="s">
        <v>127</v>
      </c>
      <c r="B9" s="1"/>
      <c r="C9" s="1"/>
      <c r="D9" s="18"/>
      <c r="E9" s="35"/>
      <c r="F9" s="45"/>
    </row>
    <row r="10" spans="1:7">
      <c r="A10" s="5"/>
      <c r="B10" s="1" t="s">
        <v>128</v>
      </c>
      <c r="C10" s="1" t="s">
        <v>274</v>
      </c>
      <c r="D10" s="18"/>
      <c r="E10" s="35"/>
      <c r="F10" s="45"/>
    </row>
    <row r="11" spans="1:7">
      <c r="A11" s="28" t="s">
        <v>129</v>
      </c>
      <c r="B11" s="1">
        <v>0</v>
      </c>
      <c r="C11" s="1">
        <v>1</v>
      </c>
      <c r="D11" s="18">
        <f>B11*C11</f>
        <v>0</v>
      </c>
      <c r="E11" s="35"/>
      <c r="F11" s="45"/>
      <c r="G11" s="1"/>
    </row>
    <row r="12" spans="1:7">
      <c r="A12" s="5"/>
      <c r="B12" s="1"/>
      <c r="C12" s="1"/>
      <c r="D12" s="18"/>
      <c r="E12" s="35"/>
      <c r="F12" s="45"/>
    </row>
    <row r="13" spans="1:7">
      <c r="A13" s="5"/>
      <c r="B13" s="1" t="s">
        <v>125</v>
      </c>
      <c r="C13" s="1" t="s">
        <v>273</v>
      </c>
      <c r="D13" s="18"/>
      <c r="E13" s="35"/>
      <c r="F13" s="45"/>
    </row>
    <row r="14" spans="1:7">
      <c r="A14" s="28" t="s">
        <v>130</v>
      </c>
      <c r="B14" s="1">
        <v>0</v>
      </c>
      <c r="C14" s="1">
        <v>0.2</v>
      </c>
      <c r="D14" s="18">
        <f>B14*C14</f>
        <v>0</v>
      </c>
      <c r="E14" s="35"/>
      <c r="F14" s="45"/>
    </row>
    <row r="15" spans="1:7">
      <c r="A15" s="28" t="s">
        <v>131</v>
      </c>
      <c r="B15" s="1">
        <v>0</v>
      </c>
      <c r="C15" s="1">
        <v>0.2</v>
      </c>
      <c r="D15" s="18">
        <f>B15*C15</f>
        <v>0</v>
      </c>
      <c r="E15" s="35"/>
      <c r="F15" s="45"/>
    </row>
    <row r="16" spans="1:7">
      <c r="A16" s="5"/>
      <c r="B16" s="1"/>
      <c r="C16" s="1"/>
      <c r="D16" s="18"/>
      <c r="E16" s="35"/>
      <c r="F16" s="45"/>
    </row>
    <row r="17" spans="1:6">
      <c r="A17" s="5"/>
      <c r="B17" s="1" t="s">
        <v>125</v>
      </c>
      <c r="C17" s="1" t="s">
        <v>273</v>
      </c>
      <c r="D17" s="18"/>
      <c r="E17" s="35"/>
      <c r="F17" s="45"/>
    </row>
    <row r="18" spans="1:6">
      <c r="A18" s="28" t="s">
        <v>132</v>
      </c>
      <c r="B18" s="1">
        <v>0</v>
      </c>
      <c r="C18" s="1">
        <v>1</v>
      </c>
      <c r="D18" s="18">
        <f>B18*C18</f>
        <v>0</v>
      </c>
      <c r="E18" s="35"/>
      <c r="F18" s="45"/>
    </row>
    <row r="19" spans="1:6">
      <c r="A19" s="5"/>
      <c r="B19" s="1"/>
      <c r="C19" s="1"/>
      <c r="D19" s="18"/>
      <c r="E19" s="35"/>
      <c r="F19" s="45"/>
    </row>
    <row r="20" spans="1:6">
      <c r="A20" s="5" t="s">
        <v>133</v>
      </c>
      <c r="B20" s="1"/>
      <c r="C20" s="1"/>
      <c r="D20" s="18"/>
      <c r="E20" s="35"/>
      <c r="F20" s="45"/>
    </row>
    <row r="21" spans="1:6">
      <c r="A21" s="5"/>
      <c r="B21" s="1" t="s">
        <v>128</v>
      </c>
      <c r="C21" s="1" t="s">
        <v>274</v>
      </c>
      <c r="D21" s="18"/>
      <c r="E21" s="35"/>
      <c r="F21" s="45"/>
    </row>
    <row r="22" spans="1:6">
      <c r="A22" t="s">
        <v>134</v>
      </c>
      <c r="B22" s="1">
        <v>0</v>
      </c>
      <c r="C22" s="1">
        <v>30</v>
      </c>
      <c r="D22" s="18">
        <f>B22*C22</f>
        <v>0</v>
      </c>
      <c r="E22" s="35"/>
      <c r="F22" s="45"/>
    </row>
    <row r="23" spans="1:6">
      <c r="A23" s="28" t="s">
        <v>135</v>
      </c>
      <c r="B23" s="1">
        <v>0</v>
      </c>
      <c r="C23" s="1">
        <v>20</v>
      </c>
      <c r="D23" s="18">
        <f>B23*C23</f>
        <v>0</v>
      </c>
      <c r="E23" s="35"/>
      <c r="F23" s="45"/>
    </row>
    <row r="24" spans="1:6">
      <c r="B24" s="1"/>
      <c r="C24" s="1"/>
      <c r="D24" s="18"/>
      <c r="E24" s="35"/>
      <c r="F24" s="45"/>
    </row>
    <row r="25" spans="1:6">
      <c r="A25" s="5" t="s">
        <v>136</v>
      </c>
      <c r="B25" s="1"/>
      <c r="C25" s="1"/>
      <c r="D25" s="18"/>
      <c r="E25" s="35"/>
      <c r="F25" s="45"/>
    </row>
    <row r="26" spans="1:6">
      <c r="B26" s="1" t="s">
        <v>125</v>
      </c>
      <c r="C26" s="1" t="s">
        <v>273</v>
      </c>
      <c r="D26" s="18"/>
      <c r="E26" s="35"/>
      <c r="F26" s="45"/>
    </row>
    <row r="27" spans="1:6">
      <c r="A27" t="s">
        <v>137</v>
      </c>
      <c r="B27" s="1">
        <v>0</v>
      </c>
      <c r="C27" s="1">
        <v>1.25</v>
      </c>
      <c r="D27" s="18">
        <f>B27*C27</f>
        <v>0</v>
      </c>
      <c r="E27" s="35"/>
      <c r="F27" s="45"/>
    </row>
    <row r="28" spans="1:6">
      <c r="B28" s="1"/>
      <c r="C28" s="1"/>
      <c r="D28" s="18"/>
      <c r="E28" s="35"/>
      <c r="F28" s="45"/>
    </row>
    <row r="29" spans="1:6">
      <c r="A29" s="5" t="s">
        <v>138</v>
      </c>
      <c r="B29" s="1"/>
      <c r="C29" s="1"/>
      <c r="D29" s="18"/>
      <c r="E29" s="35"/>
      <c r="F29" s="45"/>
    </row>
    <row r="30" spans="1:6">
      <c r="B30" s="1" t="s">
        <v>125</v>
      </c>
      <c r="C30" s="1" t="s">
        <v>273</v>
      </c>
      <c r="D30" s="18"/>
      <c r="E30" s="35"/>
      <c r="F30" s="45"/>
    </row>
    <row r="31" spans="1:6">
      <c r="A31" t="s">
        <v>139</v>
      </c>
      <c r="B31" s="1">
        <v>0</v>
      </c>
      <c r="C31" s="1">
        <v>0.5</v>
      </c>
      <c r="D31" s="18">
        <f>B31*C31</f>
        <v>0</v>
      </c>
      <c r="E31" s="35"/>
      <c r="F31" s="45"/>
    </row>
    <row r="32" spans="1:6">
      <c r="B32" s="1"/>
      <c r="C32" s="1"/>
      <c r="D32" s="18"/>
      <c r="E32" s="35"/>
      <c r="F32" s="45"/>
    </row>
    <row r="33" spans="1:9">
      <c r="B33" s="1" t="s">
        <v>128</v>
      </c>
      <c r="C33" s="1" t="s">
        <v>274</v>
      </c>
      <c r="D33" s="18"/>
      <c r="E33" s="35"/>
      <c r="F33" s="45"/>
    </row>
    <row r="34" spans="1:9">
      <c r="A34" t="s">
        <v>140</v>
      </c>
      <c r="B34" s="1">
        <v>0</v>
      </c>
      <c r="C34" s="1">
        <v>20</v>
      </c>
      <c r="D34" s="18">
        <f>B34*C34</f>
        <v>0</v>
      </c>
      <c r="E34" s="35"/>
      <c r="F34" s="45"/>
    </row>
    <row r="35" spans="1:9">
      <c r="B35" s="1"/>
      <c r="C35" s="1"/>
      <c r="D35" s="18"/>
      <c r="E35" s="35"/>
      <c r="F35" s="45"/>
    </row>
    <row r="36" spans="1:9">
      <c r="C36" s="2" t="s">
        <v>279</v>
      </c>
      <c r="D36" s="3">
        <f>SUM(D7:D35)*1.05</f>
        <v>0</v>
      </c>
      <c r="E36" s="46"/>
      <c r="F36" s="47"/>
    </row>
    <row r="38" spans="1:9">
      <c r="C38" s="84" t="s">
        <v>278</v>
      </c>
      <c r="D38" s="84">
        <f>D36*0.8</f>
        <v>0</v>
      </c>
    </row>
    <row r="41" spans="1:9">
      <c r="A41" s="1" t="s">
        <v>275</v>
      </c>
    </row>
    <row r="43" spans="1:9" ht="28">
      <c r="A43" s="54" t="s">
        <v>276</v>
      </c>
      <c r="B43" s="54" t="s">
        <v>110</v>
      </c>
      <c r="C43" s="54" t="s">
        <v>277</v>
      </c>
      <c r="D43" s="54" t="s">
        <v>8</v>
      </c>
      <c r="E43" s="54" t="s">
        <v>293</v>
      </c>
      <c r="F43" s="54" t="s">
        <v>289</v>
      </c>
      <c r="G43" s="91" t="s">
        <v>290</v>
      </c>
      <c r="H43" s="91" t="s">
        <v>291</v>
      </c>
      <c r="I43" s="92" t="s">
        <v>292</v>
      </c>
    </row>
    <row r="44" spans="1:9">
      <c r="A44" s="91"/>
      <c r="B44" s="91">
        <v>0</v>
      </c>
      <c r="C44" s="92">
        <v>76</v>
      </c>
      <c r="D44" s="4">
        <f>B44*C44</f>
        <v>0</v>
      </c>
      <c r="E44" s="28">
        <v>0</v>
      </c>
      <c r="F44" s="28">
        <v>1</v>
      </c>
      <c r="G44" s="91">
        <f>B44*E44*F44</f>
        <v>0</v>
      </c>
      <c r="H44" s="91">
        <v>0</v>
      </c>
      <c r="I44" s="92">
        <f>G44*H44</f>
        <v>0</v>
      </c>
    </row>
    <row r="45" spans="1:9">
      <c r="A45" s="91"/>
      <c r="B45" s="91"/>
      <c r="C45" s="92">
        <v>0</v>
      </c>
      <c r="D45" s="4">
        <f t="shared" ref="D45:D56" si="0">B45*C45</f>
        <v>0</v>
      </c>
      <c r="E45" s="28">
        <v>0</v>
      </c>
      <c r="F45" s="28">
        <v>1</v>
      </c>
      <c r="G45" s="91">
        <f t="shared" ref="G45:G56" si="1">B45*E45*F45</f>
        <v>0</v>
      </c>
      <c r="H45" s="91">
        <v>0</v>
      </c>
      <c r="I45" s="92">
        <f t="shared" ref="I45:I56" si="2">G45*H45</f>
        <v>0</v>
      </c>
    </row>
    <row r="46" spans="1:9">
      <c r="A46" s="91"/>
      <c r="B46" s="91"/>
      <c r="C46" s="92">
        <v>0</v>
      </c>
      <c r="D46" s="4">
        <f t="shared" si="0"/>
        <v>0</v>
      </c>
      <c r="E46" s="28">
        <v>0</v>
      </c>
      <c r="F46" s="28">
        <v>1</v>
      </c>
      <c r="G46" s="91">
        <f t="shared" si="1"/>
        <v>0</v>
      </c>
      <c r="H46" s="91">
        <v>0</v>
      </c>
      <c r="I46" s="92">
        <f t="shared" si="2"/>
        <v>0</v>
      </c>
    </row>
    <row r="47" spans="1:9">
      <c r="A47" s="91"/>
      <c r="B47" s="91"/>
      <c r="C47" s="92">
        <v>0</v>
      </c>
      <c r="D47" s="4">
        <f t="shared" si="0"/>
        <v>0</v>
      </c>
      <c r="E47" s="28">
        <v>0</v>
      </c>
      <c r="F47" s="28">
        <v>1</v>
      </c>
      <c r="G47" s="91">
        <f t="shared" si="1"/>
        <v>0</v>
      </c>
      <c r="H47" s="91">
        <v>0</v>
      </c>
      <c r="I47" s="92">
        <f t="shared" si="2"/>
        <v>0</v>
      </c>
    </row>
    <row r="48" spans="1:9">
      <c r="A48" s="94"/>
      <c r="B48" s="94"/>
      <c r="C48" s="92">
        <v>0</v>
      </c>
      <c r="D48" s="4">
        <f t="shared" si="0"/>
        <v>0</v>
      </c>
      <c r="E48" s="28">
        <v>0</v>
      </c>
      <c r="F48" s="28">
        <v>1</v>
      </c>
      <c r="G48" s="91">
        <f t="shared" si="1"/>
        <v>0</v>
      </c>
      <c r="H48" s="91">
        <v>0</v>
      </c>
      <c r="I48" s="92">
        <f t="shared" si="2"/>
        <v>0</v>
      </c>
    </row>
    <row r="49" spans="1:9">
      <c r="A49" s="94"/>
      <c r="B49" s="94"/>
      <c r="C49" s="92">
        <v>0</v>
      </c>
      <c r="D49" s="4">
        <f t="shared" si="0"/>
        <v>0</v>
      </c>
      <c r="E49" s="28">
        <v>0</v>
      </c>
      <c r="F49" s="28">
        <v>1</v>
      </c>
      <c r="G49" s="91">
        <f t="shared" si="1"/>
        <v>0</v>
      </c>
      <c r="H49" s="91">
        <v>0</v>
      </c>
      <c r="I49" s="92">
        <f t="shared" si="2"/>
        <v>0</v>
      </c>
    </row>
    <row r="50" spans="1:9">
      <c r="A50" s="94"/>
      <c r="B50" s="94"/>
      <c r="C50" s="92">
        <v>0</v>
      </c>
      <c r="D50" s="4">
        <f t="shared" si="0"/>
        <v>0</v>
      </c>
      <c r="E50" s="28">
        <v>0</v>
      </c>
      <c r="F50" s="28">
        <v>1</v>
      </c>
      <c r="G50" s="91">
        <f t="shared" si="1"/>
        <v>0</v>
      </c>
      <c r="H50" s="91">
        <v>0</v>
      </c>
      <c r="I50" s="92">
        <f t="shared" si="2"/>
        <v>0</v>
      </c>
    </row>
    <row r="51" spans="1:9">
      <c r="A51" s="94"/>
      <c r="B51" s="94"/>
      <c r="C51" s="92">
        <v>0</v>
      </c>
      <c r="D51" s="4">
        <f t="shared" si="0"/>
        <v>0</v>
      </c>
      <c r="E51" s="28">
        <v>0</v>
      </c>
      <c r="F51" s="28">
        <v>1</v>
      </c>
      <c r="G51" s="91">
        <f t="shared" si="1"/>
        <v>0</v>
      </c>
      <c r="H51" s="94">
        <v>0</v>
      </c>
      <c r="I51" s="92">
        <f t="shared" si="2"/>
        <v>0</v>
      </c>
    </row>
    <row r="52" spans="1:9">
      <c r="A52" s="94"/>
      <c r="B52" s="94"/>
      <c r="C52" s="92">
        <v>0</v>
      </c>
      <c r="D52" s="4">
        <f t="shared" si="0"/>
        <v>0</v>
      </c>
      <c r="E52" s="28">
        <v>0</v>
      </c>
      <c r="F52" s="28">
        <v>1</v>
      </c>
      <c r="G52" s="91">
        <f t="shared" si="1"/>
        <v>0</v>
      </c>
      <c r="H52" s="94">
        <v>0</v>
      </c>
      <c r="I52" s="92">
        <f t="shared" si="2"/>
        <v>0</v>
      </c>
    </row>
    <row r="53" spans="1:9">
      <c r="A53" s="94"/>
      <c r="B53" s="94"/>
      <c r="C53" s="92">
        <v>0</v>
      </c>
      <c r="D53" s="4">
        <f t="shared" si="0"/>
        <v>0</v>
      </c>
      <c r="E53" s="28">
        <v>0</v>
      </c>
      <c r="F53" s="28">
        <v>1</v>
      </c>
      <c r="G53" s="91">
        <f t="shared" si="1"/>
        <v>0</v>
      </c>
      <c r="H53" s="94">
        <v>0</v>
      </c>
      <c r="I53" s="92">
        <f t="shared" si="2"/>
        <v>0</v>
      </c>
    </row>
    <row r="54" spans="1:9">
      <c r="A54" s="94"/>
      <c r="B54" s="94"/>
      <c r="C54" s="92">
        <v>0</v>
      </c>
      <c r="D54" s="4">
        <f t="shared" si="0"/>
        <v>0</v>
      </c>
      <c r="E54" s="28">
        <v>0</v>
      </c>
      <c r="F54" s="28">
        <v>1</v>
      </c>
      <c r="G54" s="91">
        <f t="shared" si="1"/>
        <v>0</v>
      </c>
      <c r="H54" s="94">
        <v>0</v>
      </c>
      <c r="I54" s="92">
        <f t="shared" si="2"/>
        <v>0</v>
      </c>
    </row>
    <row r="55" spans="1:9">
      <c r="A55" s="94"/>
      <c r="B55" s="94"/>
      <c r="C55" s="92">
        <v>0</v>
      </c>
      <c r="D55" s="4">
        <f t="shared" si="0"/>
        <v>0</v>
      </c>
      <c r="E55" s="28">
        <v>0</v>
      </c>
      <c r="F55" s="28">
        <v>1</v>
      </c>
      <c r="G55" s="91">
        <f t="shared" si="1"/>
        <v>0</v>
      </c>
      <c r="H55" s="94">
        <v>0</v>
      </c>
      <c r="I55" s="92">
        <f t="shared" si="2"/>
        <v>0</v>
      </c>
    </row>
    <row r="56" spans="1:9">
      <c r="A56" s="94"/>
      <c r="B56" s="94"/>
      <c r="C56" s="92">
        <v>0</v>
      </c>
      <c r="D56" s="4">
        <f t="shared" si="0"/>
        <v>0</v>
      </c>
      <c r="E56" s="28">
        <v>0</v>
      </c>
      <c r="F56" s="28">
        <v>1</v>
      </c>
      <c r="G56" s="91">
        <f t="shared" si="1"/>
        <v>0</v>
      </c>
      <c r="H56" s="94">
        <v>0</v>
      </c>
      <c r="I56" s="92">
        <f t="shared" si="2"/>
        <v>0</v>
      </c>
    </row>
    <row r="57" spans="1:9">
      <c r="A57" s="4"/>
      <c r="B57" s="4"/>
      <c r="C57" s="4" t="s">
        <v>150</v>
      </c>
      <c r="D57" s="36">
        <f>SUM(D44:D56)</f>
        <v>0</v>
      </c>
      <c r="E57" s="28" t="s">
        <v>290</v>
      </c>
      <c r="F57" s="28"/>
      <c r="G57" s="94">
        <f>SUM(G44:G56)</f>
        <v>0</v>
      </c>
      <c r="H57" s="94"/>
      <c r="I57" s="92"/>
    </row>
    <row r="58" spans="1:9">
      <c r="A58" s="4"/>
      <c r="B58" s="4"/>
      <c r="C58" s="4"/>
      <c r="D58" s="4"/>
      <c r="E58" s="28"/>
      <c r="F58" s="28"/>
      <c r="G58" s="94"/>
      <c r="H58" s="94"/>
      <c r="I58" s="92"/>
    </row>
    <row r="59" spans="1:9">
      <c r="A59" s="4"/>
      <c r="B59" s="4"/>
      <c r="C59" s="4"/>
      <c r="D59" s="4"/>
      <c r="E59" s="93">
        <v>0.02</v>
      </c>
      <c r="F59" s="28"/>
      <c r="G59" s="94">
        <f>G57*0.02</f>
        <v>0</v>
      </c>
      <c r="H59" s="94"/>
      <c r="I59" s="92">
        <f>SUM(I44:I58)</f>
        <v>0</v>
      </c>
    </row>
    <row r="60" spans="1:9">
      <c r="A60" s="1"/>
      <c r="B60" s="1"/>
      <c r="C60" s="1"/>
      <c r="D60" s="1"/>
      <c r="G60" s="89"/>
      <c r="H60" s="89"/>
      <c r="I60" s="86"/>
    </row>
    <row r="61" spans="1:9">
      <c r="A61" s="1"/>
      <c r="B61" s="1"/>
      <c r="C61" s="1"/>
      <c r="D61" s="1"/>
      <c r="G61" s="89"/>
      <c r="H61" s="89"/>
      <c r="I61" s="86"/>
    </row>
    <row r="62" spans="1:9">
      <c r="A62" s="1"/>
      <c r="B62" s="1"/>
      <c r="C62" s="1"/>
      <c r="D62" s="1"/>
      <c r="G62" s="89"/>
      <c r="H62" s="89"/>
      <c r="I62" s="86"/>
    </row>
    <row r="63" spans="1:9">
      <c r="G63" s="89"/>
      <c r="H63" s="89"/>
      <c r="I63" s="86"/>
    </row>
    <row r="64" spans="1:9">
      <c r="G64" s="89"/>
      <c r="H64" s="89"/>
      <c r="I64" s="86"/>
    </row>
    <row r="65" spans="7:9">
      <c r="G65" s="89"/>
      <c r="H65" s="89"/>
      <c r="I65" s="86"/>
    </row>
    <row r="66" spans="7:9">
      <c r="G66" s="89"/>
      <c r="H66" s="89"/>
      <c r="I66" s="86"/>
    </row>
  </sheetData>
  <phoneticPr fontId="18" type="noConversion"/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4"/>
  <dimension ref="A1:G24"/>
  <sheetViews>
    <sheetView workbookViewId="0">
      <selection activeCell="C5" sqref="C5"/>
    </sheetView>
  </sheetViews>
  <sheetFormatPr baseColWidth="10" defaultColWidth="8.83203125" defaultRowHeight="13"/>
  <cols>
    <col min="1" max="1" width="21.5" customWidth="1"/>
  </cols>
  <sheetData>
    <row r="1" spans="1:7">
      <c r="A1" s="20" t="s">
        <v>84</v>
      </c>
      <c r="B1" s="14"/>
      <c r="C1" s="14"/>
      <c r="D1" s="14"/>
      <c r="E1" s="14"/>
      <c r="F1" s="14"/>
      <c r="G1" s="14"/>
    </row>
    <row r="2" spans="1:7">
      <c r="A2" s="7"/>
      <c r="B2" s="8" t="s">
        <v>19</v>
      </c>
      <c r="C2" s="8" t="s">
        <v>20</v>
      </c>
      <c r="D2" s="7"/>
      <c r="E2" s="7"/>
      <c r="F2" s="7"/>
      <c r="G2" s="7"/>
    </row>
    <row r="3" spans="1:7">
      <c r="A3" s="9" t="s">
        <v>21</v>
      </c>
      <c r="B3" s="7">
        <v>1000</v>
      </c>
      <c r="C3" s="7">
        <v>0</v>
      </c>
      <c r="D3" s="7"/>
      <c r="E3" s="7"/>
      <c r="F3" s="7"/>
      <c r="G3" s="7"/>
    </row>
    <row r="4" spans="1:7">
      <c r="A4" s="9" t="s">
        <v>22</v>
      </c>
      <c r="B4" s="7">
        <v>480</v>
      </c>
      <c r="C4" s="7">
        <v>480</v>
      </c>
      <c r="D4" s="7"/>
      <c r="E4" s="7"/>
      <c r="F4" s="7"/>
      <c r="G4" s="7"/>
    </row>
    <row r="5" spans="1:7">
      <c r="A5" s="9" t="s">
        <v>23</v>
      </c>
      <c r="B5" s="7">
        <f>SUM(B6:B8)</f>
        <v>30</v>
      </c>
      <c r="C5" s="7">
        <f>SUM(C6:C8)</f>
        <v>0</v>
      </c>
      <c r="D5" s="7"/>
      <c r="E5" s="7"/>
      <c r="F5" s="7"/>
      <c r="G5" s="7"/>
    </row>
    <row r="6" spans="1:7">
      <c r="A6" s="7" t="s">
        <v>24</v>
      </c>
      <c r="B6" s="7">
        <v>10</v>
      </c>
      <c r="C6" s="7">
        <v>0</v>
      </c>
      <c r="D6" s="7"/>
      <c r="E6" s="7"/>
      <c r="F6" s="7"/>
      <c r="G6" s="7"/>
    </row>
    <row r="7" spans="1:7">
      <c r="A7" s="7" t="s">
        <v>25</v>
      </c>
      <c r="B7" s="7">
        <v>10</v>
      </c>
      <c r="C7" s="7">
        <v>0</v>
      </c>
      <c r="D7" s="7"/>
      <c r="E7" s="7"/>
      <c r="F7" s="7"/>
      <c r="G7" s="7"/>
    </row>
    <row r="8" spans="1:7">
      <c r="A8" s="7" t="s">
        <v>26</v>
      </c>
      <c r="B8" s="7">
        <v>10</v>
      </c>
      <c r="C8" s="7">
        <v>0</v>
      </c>
      <c r="D8" s="7"/>
      <c r="E8" s="7"/>
      <c r="F8" s="7"/>
      <c r="G8" s="7"/>
    </row>
    <row r="9" spans="1:7">
      <c r="A9" s="9"/>
      <c r="B9" s="7"/>
      <c r="C9" s="7"/>
      <c r="D9" s="7"/>
      <c r="E9" s="7"/>
      <c r="F9" s="7"/>
      <c r="G9" s="7"/>
    </row>
    <row r="10" spans="1:7">
      <c r="A10" s="9" t="s">
        <v>27</v>
      </c>
      <c r="B10" s="7"/>
      <c r="C10" s="7" t="s">
        <v>28</v>
      </c>
      <c r="D10" s="7"/>
      <c r="E10" s="7"/>
      <c r="F10" s="7" t="s">
        <v>29</v>
      </c>
      <c r="G10" s="7" t="s">
        <v>30</v>
      </c>
    </row>
    <row r="11" spans="1:7">
      <c r="A11" s="7" t="s">
        <v>24</v>
      </c>
      <c r="B11" s="10">
        <f>((B3*B6)+(C3*C6))/B4</f>
        <v>20.833333333333332</v>
      </c>
      <c r="C11" s="7">
        <v>30</v>
      </c>
      <c r="D11" s="7"/>
      <c r="E11" s="7"/>
      <c r="F11" s="11">
        <f>(COS(C11*PI()/180))*B11</f>
        <v>18.042195912175806</v>
      </c>
      <c r="G11" s="11">
        <f>(SIN(C11*PI()/180))*B11</f>
        <v>10.416666666666664</v>
      </c>
    </row>
    <row r="12" spans="1:7">
      <c r="A12" s="7" t="s">
        <v>25</v>
      </c>
      <c r="B12" s="10">
        <f>((B3*B7)+(C3*C7))/B4</f>
        <v>20.833333333333332</v>
      </c>
      <c r="C12" s="7">
        <v>270</v>
      </c>
      <c r="D12" s="7"/>
      <c r="E12" s="7"/>
      <c r="F12" s="11">
        <f>(COS(C12*PI()/180))*B12</f>
        <v>-3.8285889215894375E-15</v>
      </c>
      <c r="G12" s="11">
        <f>(SIN(C12*PI()/180))*B12</f>
        <v>-20.833333333333332</v>
      </c>
    </row>
    <row r="13" spans="1:7">
      <c r="A13" s="7" t="s">
        <v>26</v>
      </c>
      <c r="B13" s="10">
        <f>((B3*B8)+(C3*C8))/B4</f>
        <v>20.833333333333332</v>
      </c>
      <c r="C13" s="7">
        <v>150</v>
      </c>
      <c r="D13" s="7"/>
      <c r="E13" s="7"/>
      <c r="F13" s="11">
        <f>(COS(C13*PI()/180))*B13</f>
        <v>-18.042195912175806</v>
      </c>
      <c r="G13" s="11">
        <f>(SIN(C13*PI()/180))*B13</f>
        <v>10.416666666666664</v>
      </c>
    </row>
    <row r="14" spans="1:7">
      <c r="A14" s="7"/>
      <c r="B14" s="7"/>
      <c r="C14" s="7"/>
      <c r="D14" s="7"/>
      <c r="E14" s="7"/>
      <c r="F14" s="7"/>
      <c r="G14" s="7"/>
    </row>
    <row r="15" spans="1:7">
      <c r="A15" s="9" t="s">
        <v>31</v>
      </c>
      <c r="B15" s="7"/>
      <c r="C15" s="7" t="s">
        <v>28</v>
      </c>
      <c r="D15" s="7"/>
      <c r="E15" s="7"/>
      <c r="F15" s="7" t="s">
        <v>29</v>
      </c>
      <c r="G15" s="7" t="s">
        <v>30</v>
      </c>
    </row>
    <row r="16" spans="1:7">
      <c r="A16" s="7" t="s">
        <v>32</v>
      </c>
      <c r="B16" s="10">
        <f>SQRT(F16^2+G16^2)</f>
        <v>36.084391824351613</v>
      </c>
      <c r="C16" s="11">
        <f>ACOS(F16/B16)*180/PI()</f>
        <v>0</v>
      </c>
      <c r="D16" s="7"/>
      <c r="E16" s="7"/>
      <c r="F16" s="11">
        <f>F11-F13</f>
        <v>36.084391824351613</v>
      </c>
      <c r="G16" s="11">
        <f>G11-G13</f>
        <v>0</v>
      </c>
    </row>
    <row r="17" spans="1:7">
      <c r="A17" s="7" t="s">
        <v>33</v>
      </c>
      <c r="B17" s="10">
        <f>SQRT(F17^2+G17^2)</f>
        <v>36.084391824351606</v>
      </c>
      <c r="C17" s="11">
        <f>(ATAN(G17/F17)*180/PI())-180</f>
        <v>-120</v>
      </c>
      <c r="D17" s="7"/>
      <c r="E17" s="7"/>
      <c r="F17" s="11">
        <f>F12-F11</f>
        <v>-18.04219591217581</v>
      </c>
      <c r="G17" s="11">
        <f>G12-G11</f>
        <v>-31.249999999999996</v>
      </c>
    </row>
    <row r="18" spans="1:7">
      <c r="A18" s="7" t="s">
        <v>34</v>
      </c>
      <c r="B18" s="10">
        <f>SQRT(F18^2+G18^2)</f>
        <v>36.084391824351606</v>
      </c>
      <c r="C18" s="11">
        <f>(ATAN(G18/F18)*180/PI())-180</f>
        <v>-240</v>
      </c>
      <c r="D18" s="7"/>
      <c r="E18" s="7"/>
      <c r="F18" s="11">
        <f>F13-F12</f>
        <v>-18.042195912175803</v>
      </c>
      <c r="G18" s="11">
        <f>G13-G12</f>
        <v>31.249999999999996</v>
      </c>
    </row>
    <row r="19" spans="1:7">
      <c r="A19" s="7"/>
      <c r="B19" s="7"/>
      <c r="C19" s="7"/>
      <c r="D19" s="7"/>
      <c r="E19" s="7"/>
      <c r="F19" s="7"/>
      <c r="G19" s="7"/>
    </row>
    <row r="20" spans="1:7">
      <c r="A20" s="9" t="s">
        <v>35</v>
      </c>
      <c r="B20" s="7"/>
      <c r="C20" s="7"/>
      <c r="D20" s="7"/>
      <c r="E20" s="7"/>
      <c r="F20" s="7"/>
      <c r="G20" s="7"/>
    </row>
    <row r="21" spans="1:7">
      <c r="A21" s="7" t="s">
        <v>32</v>
      </c>
      <c r="B21" s="10">
        <f>B16*1.25</f>
        <v>45.105489780439513</v>
      </c>
      <c r="C21" s="7"/>
      <c r="D21" s="7"/>
      <c r="E21" s="7"/>
      <c r="F21" s="7"/>
      <c r="G21" s="7"/>
    </row>
    <row r="22" spans="1:7">
      <c r="A22" s="7" t="s">
        <v>33</v>
      </c>
      <c r="B22" s="10">
        <f>B17*1.25</f>
        <v>45.105489780439505</v>
      </c>
      <c r="C22" s="7"/>
      <c r="D22" s="7"/>
      <c r="E22" s="7"/>
      <c r="F22" s="7"/>
      <c r="G22" s="7"/>
    </row>
    <row r="23" spans="1:7">
      <c r="A23" s="7" t="s">
        <v>34</v>
      </c>
      <c r="B23" s="10">
        <f>B18*1.25</f>
        <v>45.105489780439505</v>
      </c>
      <c r="C23" s="7"/>
      <c r="D23" s="7"/>
      <c r="E23" s="7"/>
      <c r="F23" s="7"/>
      <c r="G23" s="7"/>
    </row>
    <row r="24" spans="1:7">
      <c r="A24" s="7"/>
      <c r="B24" s="7"/>
      <c r="C24" s="7"/>
      <c r="D24" s="7"/>
      <c r="E24" s="7"/>
      <c r="F24" s="7"/>
      <c r="G24" s="7"/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35"/>
  <sheetViews>
    <sheetView workbookViewId="0">
      <selection activeCell="C1" sqref="C1"/>
    </sheetView>
  </sheetViews>
  <sheetFormatPr baseColWidth="10" defaultColWidth="8.83203125" defaultRowHeight="13"/>
  <cols>
    <col min="1" max="1" width="35.33203125" customWidth="1"/>
    <col min="2" max="2" width="18.33203125" customWidth="1"/>
    <col min="3" max="3" width="13.33203125" customWidth="1"/>
    <col min="4" max="4" width="15.5" customWidth="1"/>
    <col min="5" max="5" width="13.6640625" customWidth="1"/>
  </cols>
  <sheetData>
    <row r="1" spans="1:8">
      <c r="A1" s="21" t="s">
        <v>38</v>
      </c>
    </row>
    <row r="2" spans="1:8">
      <c r="D2" s="5"/>
      <c r="E2" s="5"/>
      <c r="F2" s="5"/>
      <c r="H2" s="5"/>
    </row>
    <row r="3" spans="1:8">
      <c r="A3" t="s">
        <v>39</v>
      </c>
      <c r="B3" s="1">
        <v>60</v>
      </c>
    </row>
    <row r="4" spans="1:8">
      <c r="A4" t="s">
        <v>40</v>
      </c>
      <c r="B4" s="1">
        <v>169</v>
      </c>
      <c r="C4" s="5" t="s">
        <v>41</v>
      </c>
      <c r="D4" s="2">
        <f>B4*1.25</f>
        <v>211.25</v>
      </c>
    </row>
    <row r="5" spans="1:8">
      <c r="A5" t="s">
        <v>13</v>
      </c>
      <c r="B5" s="1">
        <v>208</v>
      </c>
    </row>
    <row r="6" spans="1:8">
      <c r="A6" t="s">
        <v>42</v>
      </c>
      <c r="B6" s="1">
        <v>100</v>
      </c>
    </row>
    <row r="7" spans="1:8">
      <c r="A7" t="s">
        <v>43</v>
      </c>
      <c r="B7" s="1">
        <v>1200</v>
      </c>
      <c r="C7" t="s">
        <v>44</v>
      </c>
    </row>
    <row r="8" spans="1:8">
      <c r="A8" t="s">
        <v>1</v>
      </c>
      <c r="B8" s="1">
        <v>12.9</v>
      </c>
    </row>
    <row r="9" spans="1:8">
      <c r="B9" s="1"/>
    </row>
    <row r="10" spans="1:8">
      <c r="A10" t="s">
        <v>45</v>
      </c>
      <c r="B10" s="18"/>
      <c r="C10" s="19"/>
      <c r="D10" s="19" t="s">
        <v>46</v>
      </c>
      <c r="E10" s="19"/>
      <c r="F10" s="19"/>
    </row>
    <row r="11" spans="1:8">
      <c r="A11" s="5" t="s">
        <v>47</v>
      </c>
      <c r="B11" s="3">
        <f>(208*0.15)</f>
        <v>31.2</v>
      </c>
      <c r="C11" s="19"/>
      <c r="D11" s="19" t="s">
        <v>48</v>
      </c>
      <c r="E11" s="18">
        <v>500000</v>
      </c>
      <c r="F11" s="19"/>
    </row>
    <row r="12" spans="1:8">
      <c r="A12" s="5" t="s">
        <v>49</v>
      </c>
      <c r="B12" s="3">
        <f>(1.732*B8*B7*B6)/B11</f>
        <v>85933.846153846156</v>
      </c>
      <c r="C12" s="19"/>
      <c r="D12" s="22" t="s">
        <v>46</v>
      </c>
      <c r="E12" s="3">
        <f>(1.732*B8*B7*B6)/E11</f>
        <v>5.3622719999999999</v>
      </c>
      <c r="F12" s="19"/>
    </row>
    <row r="13" spans="1:8">
      <c r="A13" s="5"/>
      <c r="B13" s="3"/>
      <c r="C13" s="19"/>
      <c r="D13" s="22" t="s">
        <v>50</v>
      </c>
      <c r="E13" s="3">
        <f>(E12/B5)*100</f>
        <v>2.5780153846153846</v>
      </c>
      <c r="F13" s="19"/>
    </row>
    <row r="14" spans="1:8">
      <c r="B14" s="18"/>
      <c r="C14" s="19"/>
      <c r="D14" s="19"/>
      <c r="E14" s="18"/>
      <c r="F14" s="19"/>
    </row>
    <row r="15" spans="1:8">
      <c r="A15" t="s">
        <v>51</v>
      </c>
      <c r="B15" s="18"/>
      <c r="C15" s="19"/>
      <c r="D15" s="19" t="s">
        <v>46</v>
      </c>
      <c r="E15" s="18"/>
      <c r="F15" s="19"/>
    </row>
    <row r="16" spans="1:8">
      <c r="A16" s="5" t="s">
        <v>52</v>
      </c>
      <c r="B16" s="3">
        <f>(208*0.05)</f>
        <v>10.4</v>
      </c>
      <c r="C16" s="19"/>
      <c r="D16" s="19" t="s">
        <v>48</v>
      </c>
      <c r="E16" s="18">
        <v>500000</v>
      </c>
      <c r="F16" s="19"/>
    </row>
    <row r="17" spans="1:13">
      <c r="A17" s="5" t="s">
        <v>53</v>
      </c>
      <c r="B17" s="3">
        <f>(1.732*B8*(B4*1.15)*B6)/B16</f>
        <v>41753.107499999998</v>
      </c>
      <c r="C17" s="19"/>
      <c r="D17" s="22" t="s">
        <v>46</v>
      </c>
      <c r="E17" s="3">
        <f>(1.732*B8*(B4*1.15)*B6)/E16</f>
        <v>0.86846463600000001</v>
      </c>
      <c r="F17" s="19"/>
    </row>
    <row r="18" spans="1:13">
      <c r="A18" s="5"/>
      <c r="B18" s="5"/>
      <c r="D18" s="22" t="s">
        <v>50</v>
      </c>
      <c r="E18" s="3">
        <f>(E17/B5)*100</f>
        <v>0.41753107500000003</v>
      </c>
    </row>
    <row r="20" spans="1:13">
      <c r="A20" s="23" t="s">
        <v>54</v>
      </c>
      <c r="B20" s="23" t="s">
        <v>55</v>
      </c>
      <c r="C20" s="24" t="s">
        <v>56</v>
      </c>
      <c r="D20" s="25"/>
      <c r="E20" s="25"/>
      <c r="G20" s="26" t="s">
        <v>57</v>
      </c>
      <c r="H20" s="27"/>
      <c r="I20" s="27"/>
      <c r="J20" s="27"/>
      <c r="K20" s="27"/>
      <c r="L20" s="27"/>
      <c r="M20" s="27"/>
    </row>
    <row r="21" spans="1:13">
      <c r="A21" s="28" t="s">
        <v>58</v>
      </c>
      <c r="B21" t="s">
        <v>59</v>
      </c>
      <c r="C21" s="1" t="s">
        <v>60</v>
      </c>
      <c r="D21" s="1" t="s">
        <v>61</v>
      </c>
      <c r="E21" s="1" t="s">
        <v>62</v>
      </c>
      <c r="F21" s="1"/>
      <c r="G21" s="1" t="s">
        <v>60</v>
      </c>
      <c r="H21" s="1" t="s">
        <v>61</v>
      </c>
      <c r="I21" s="1" t="s">
        <v>62</v>
      </c>
      <c r="J21" s="1"/>
      <c r="K21" s="1"/>
      <c r="L21" s="1"/>
      <c r="M21" s="1"/>
    </row>
    <row r="22" spans="1:13">
      <c r="A22" s="28" t="s">
        <v>63</v>
      </c>
      <c r="B22" s="1">
        <v>390</v>
      </c>
      <c r="C22" s="1">
        <v>10</v>
      </c>
      <c r="D22" s="1">
        <v>30.8</v>
      </c>
      <c r="E22" s="1">
        <v>14</v>
      </c>
      <c r="F22" s="1"/>
      <c r="G22" s="1">
        <v>10</v>
      </c>
      <c r="H22" s="1">
        <v>179</v>
      </c>
      <c r="I22" s="1">
        <v>81</v>
      </c>
      <c r="J22" s="1"/>
      <c r="K22" s="1"/>
      <c r="L22" s="1"/>
      <c r="M22" s="29" t="s">
        <v>64</v>
      </c>
    </row>
    <row r="23" spans="1:13">
      <c r="A23" s="28" t="s">
        <v>65</v>
      </c>
      <c r="B23" s="1">
        <v>200</v>
      </c>
      <c r="C23" s="1">
        <v>15</v>
      </c>
      <c r="D23" s="1">
        <v>46.2</v>
      </c>
      <c r="E23" s="1">
        <v>21</v>
      </c>
      <c r="F23" s="1"/>
      <c r="G23" s="1">
        <v>15</v>
      </c>
      <c r="H23" s="1">
        <v>257</v>
      </c>
      <c r="I23" s="1">
        <v>116</v>
      </c>
      <c r="J23" s="30" t="s">
        <v>66</v>
      </c>
      <c r="K23" s="30"/>
      <c r="L23" s="30" t="s">
        <v>1</v>
      </c>
      <c r="M23" s="29" t="s">
        <v>67</v>
      </c>
    </row>
    <row r="24" spans="1:13">
      <c r="A24" s="28" t="s">
        <v>68</v>
      </c>
      <c r="B24" s="1">
        <v>200</v>
      </c>
      <c r="C24" s="1">
        <v>20</v>
      </c>
      <c r="D24" s="1">
        <v>59.4</v>
      </c>
      <c r="E24" s="1">
        <v>27</v>
      </c>
      <c r="F24" s="1"/>
      <c r="G24" s="1">
        <v>20</v>
      </c>
      <c r="H24" s="1">
        <v>321</v>
      </c>
      <c r="I24" s="1">
        <v>145</v>
      </c>
      <c r="J24" s="1" t="s">
        <v>69</v>
      </c>
      <c r="K24" s="1">
        <v>52620</v>
      </c>
      <c r="L24" s="1">
        <v>12.89</v>
      </c>
      <c r="M24" s="1">
        <v>85</v>
      </c>
    </row>
    <row r="25" spans="1:13">
      <c r="A25" s="28" t="s">
        <v>70</v>
      </c>
      <c r="B25" s="1">
        <v>300</v>
      </c>
      <c r="C25" s="1">
        <v>25</v>
      </c>
      <c r="D25" s="1">
        <v>74.8</v>
      </c>
      <c r="E25" s="1">
        <v>34</v>
      </c>
      <c r="F25" s="1"/>
      <c r="G25" s="1">
        <v>25</v>
      </c>
      <c r="H25" s="1">
        <v>404</v>
      </c>
      <c r="I25" s="1">
        <v>183</v>
      </c>
      <c r="J25" s="1" t="s">
        <v>71</v>
      </c>
      <c r="K25" s="1">
        <v>66360</v>
      </c>
      <c r="L25" s="1">
        <v>12.87</v>
      </c>
      <c r="M25" s="1">
        <v>95</v>
      </c>
    </row>
    <row r="26" spans="1:13">
      <c r="A26" s="28" t="s">
        <v>72</v>
      </c>
      <c r="B26" s="1" t="s">
        <v>73</v>
      </c>
      <c r="C26" s="1">
        <v>30</v>
      </c>
      <c r="D26" s="1">
        <v>88</v>
      </c>
      <c r="E26" s="1">
        <v>40</v>
      </c>
      <c r="F26" s="1"/>
      <c r="G26" s="1">
        <v>30</v>
      </c>
      <c r="H26" s="1">
        <v>481</v>
      </c>
      <c r="I26" s="1">
        <v>218</v>
      </c>
      <c r="J26" s="1" t="s">
        <v>74</v>
      </c>
      <c r="K26" s="1">
        <v>83690</v>
      </c>
      <c r="L26" s="1">
        <v>12.88</v>
      </c>
      <c r="M26" s="1">
        <v>110</v>
      </c>
    </row>
    <row r="27" spans="1:13">
      <c r="A27" s="28" t="s">
        <v>75</v>
      </c>
      <c r="B27" s="1">
        <v>240</v>
      </c>
      <c r="C27" s="1">
        <v>40</v>
      </c>
      <c r="D27" s="1">
        <v>114</v>
      </c>
      <c r="E27" s="1">
        <v>52</v>
      </c>
      <c r="F27" s="1"/>
      <c r="G27" s="1">
        <v>40</v>
      </c>
      <c r="H27" s="1">
        <v>641</v>
      </c>
      <c r="I27" s="1">
        <v>290</v>
      </c>
      <c r="J27" s="1" t="s">
        <v>76</v>
      </c>
      <c r="K27" s="1">
        <v>105600</v>
      </c>
      <c r="L27" s="1">
        <v>12.88</v>
      </c>
      <c r="M27" s="1">
        <v>150</v>
      </c>
    </row>
    <row r="28" spans="1:13">
      <c r="B28" s="1"/>
      <c r="C28" s="1">
        <v>50</v>
      </c>
      <c r="D28" s="1">
        <v>143</v>
      </c>
      <c r="E28" s="1">
        <v>65</v>
      </c>
      <c r="F28" s="1"/>
      <c r="G28" s="1">
        <v>50</v>
      </c>
      <c r="H28" s="1">
        <v>802</v>
      </c>
      <c r="I28" s="1">
        <v>363</v>
      </c>
      <c r="J28" s="1" t="s">
        <v>77</v>
      </c>
      <c r="K28" s="1">
        <v>133100</v>
      </c>
      <c r="L28" s="1">
        <v>12.87</v>
      </c>
      <c r="M28" s="1">
        <v>175</v>
      </c>
    </row>
    <row r="29" spans="1:13">
      <c r="B29" s="1"/>
      <c r="C29" s="1">
        <v>60</v>
      </c>
      <c r="D29" s="1">
        <v>169</v>
      </c>
      <c r="E29" s="1">
        <v>77</v>
      </c>
      <c r="F29" s="1"/>
      <c r="G29" s="1">
        <v>60</v>
      </c>
      <c r="H29" s="1">
        <v>962</v>
      </c>
      <c r="I29" s="1">
        <v>435</v>
      </c>
      <c r="J29" s="1" t="s">
        <v>78</v>
      </c>
      <c r="K29" s="1">
        <v>167800</v>
      </c>
      <c r="L29" s="1">
        <v>12.85</v>
      </c>
      <c r="M29" s="1">
        <v>200</v>
      </c>
    </row>
    <row r="30" spans="1:13">
      <c r="B30" s="1"/>
      <c r="C30" s="1">
        <v>75</v>
      </c>
      <c r="D30" s="1">
        <v>211</v>
      </c>
      <c r="E30" s="1">
        <v>96</v>
      </c>
      <c r="F30" s="1"/>
      <c r="G30" s="1">
        <v>75</v>
      </c>
      <c r="H30" s="1">
        <v>1200</v>
      </c>
      <c r="I30" s="1">
        <v>543</v>
      </c>
      <c r="J30" s="1" t="s">
        <v>79</v>
      </c>
      <c r="K30" s="1">
        <v>211600</v>
      </c>
      <c r="L30" s="1">
        <v>12.86</v>
      </c>
      <c r="M30" s="1">
        <v>230</v>
      </c>
    </row>
    <row r="31" spans="1:13">
      <c r="B31" s="1"/>
      <c r="C31" s="1">
        <v>100</v>
      </c>
      <c r="D31" s="1">
        <v>273</v>
      </c>
      <c r="E31" s="1">
        <v>124</v>
      </c>
      <c r="F31" s="1"/>
      <c r="G31" s="1">
        <v>100</v>
      </c>
      <c r="H31" s="1">
        <v>1603</v>
      </c>
      <c r="I31" s="1">
        <v>725</v>
      </c>
      <c r="J31" s="1" t="s">
        <v>80</v>
      </c>
      <c r="K31" s="1">
        <v>250000</v>
      </c>
      <c r="L31" s="1">
        <v>12.88</v>
      </c>
      <c r="M31" s="1">
        <v>255</v>
      </c>
    </row>
    <row r="32" spans="1:13">
      <c r="B32" s="1"/>
      <c r="C32" s="1">
        <v>125</v>
      </c>
      <c r="D32" s="1">
        <v>343</v>
      </c>
      <c r="E32" s="1">
        <v>156</v>
      </c>
      <c r="F32" s="1"/>
      <c r="G32" s="1">
        <v>125</v>
      </c>
      <c r="H32" s="1">
        <v>2007</v>
      </c>
      <c r="I32" s="1">
        <v>908</v>
      </c>
      <c r="J32" s="1" t="s">
        <v>81</v>
      </c>
      <c r="K32" s="1">
        <v>350000</v>
      </c>
      <c r="L32" s="1">
        <v>12.9</v>
      </c>
      <c r="M32" s="1">
        <v>310</v>
      </c>
    </row>
    <row r="33" spans="2:13">
      <c r="B33" s="1"/>
      <c r="C33" s="1">
        <v>150</v>
      </c>
      <c r="D33" s="1">
        <v>396</v>
      </c>
      <c r="E33" s="1">
        <v>180</v>
      </c>
      <c r="F33" s="1"/>
      <c r="G33" s="1">
        <v>150</v>
      </c>
      <c r="H33" s="1">
        <v>2400</v>
      </c>
      <c r="I33" s="1">
        <v>1085</v>
      </c>
      <c r="J33" s="1" t="s">
        <v>82</v>
      </c>
      <c r="K33" s="1">
        <v>500000</v>
      </c>
      <c r="L33" s="1">
        <v>12.9</v>
      </c>
      <c r="M33" s="1">
        <v>380</v>
      </c>
    </row>
    <row r="34" spans="2:13">
      <c r="B34" s="1"/>
      <c r="C34" s="1">
        <v>200</v>
      </c>
      <c r="D34" s="1">
        <v>528</v>
      </c>
      <c r="E34" s="1">
        <v>240</v>
      </c>
      <c r="F34" s="1"/>
      <c r="G34" s="1">
        <v>200</v>
      </c>
      <c r="H34" s="1">
        <v>3207</v>
      </c>
      <c r="I34" s="1">
        <v>1450</v>
      </c>
      <c r="J34" s="1"/>
      <c r="K34" s="1"/>
      <c r="L34" s="1"/>
      <c r="M34" s="1"/>
    </row>
    <row r="35" spans="2:13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34"/>
  <sheetViews>
    <sheetView workbookViewId="0">
      <selection activeCell="G55" sqref="G55"/>
    </sheetView>
  </sheetViews>
  <sheetFormatPr baseColWidth="10" defaultColWidth="8.83203125" defaultRowHeight="13"/>
  <cols>
    <col min="1" max="1" width="34.33203125" customWidth="1"/>
    <col min="2" max="2" width="15.33203125" customWidth="1"/>
    <col min="4" max="4" width="16.6640625" customWidth="1"/>
    <col min="5" max="5" width="17.33203125" customWidth="1"/>
  </cols>
  <sheetData>
    <row r="1" spans="1:8">
      <c r="A1" s="21" t="s">
        <v>38</v>
      </c>
    </row>
    <row r="2" spans="1:8">
      <c r="D2" s="5"/>
      <c r="E2" s="5"/>
      <c r="F2" s="5"/>
      <c r="H2" s="5"/>
    </row>
    <row r="3" spans="1:8">
      <c r="A3" t="s">
        <v>39</v>
      </c>
      <c r="B3" s="1">
        <v>75</v>
      </c>
    </row>
    <row r="4" spans="1:8">
      <c r="A4" t="s">
        <v>40</v>
      </c>
      <c r="B4" s="1">
        <v>211</v>
      </c>
      <c r="C4" s="5" t="s">
        <v>41</v>
      </c>
      <c r="D4" s="2">
        <f>B4*1.25</f>
        <v>263.75</v>
      </c>
    </row>
    <row r="5" spans="1:8">
      <c r="A5" t="s">
        <v>13</v>
      </c>
      <c r="B5" s="1">
        <v>208</v>
      </c>
    </row>
    <row r="6" spans="1:8">
      <c r="A6" t="s">
        <v>83</v>
      </c>
      <c r="B6" s="1">
        <v>200</v>
      </c>
    </row>
    <row r="7" spans="1:8">
      <c r="A7" t="s">
        <v>43</v>
      </c>
      <c r="B7" s="1">
        <v>1200</v>
      </c>
      <c r="C7" t="s">
        <v>44</v>
      </c>
    </row>
    <row r="8" spans="1:8">
      <c r="A8" t="s">
        <v>1</v>
      </c>
      <c r="B8" s="1">
        <v>12.9</v>
      </c>
    </row>
    <row r="9" spans="1:8">
      <c r="B9" s="1"/>
    </row>
    <row r="10" spans="1:8">
      <c r="A10" t="s">
        <v>45</v>
      </c>
      <c r="B10" s="18"/>
      <c r="C10" s="19"/>
      <c r="D10" s="19" t="s">
        <v>46</v>
      </c>
      <c r="E10" s="19"/>
      <c r="F10" s="19"/>
    </row>
    <row r="11" spans="1:8">
      <c r="A11" s="5" t="s">
        <v>47</v>
      </c>
      <c r="B11" s="3">
        <f>(208*0.15)</f>
        <v>31.2</v>
      </c>
      <c r="C11" s="19"/>
      <c r="D11" s="19" t="s">
        <v>48</v>
      </c>
      <c r="E11" s="18">
        <v>500000</v>
      </c>
      <c r="F11" s="19"/>
    </row>
    <row r="12" spans="1:8">
      <c r="A12" s="5" t="s">
        <v>49</v>
      </c>
      <c r="B12" s="3">
        <f>(1.732*B8*B7*B6)/B11</f>
        <v>171867.69230769231</v>
      </c>
      <c r="C12" s="19"/>
      <c r="D12" s="22" t="s">
        <v>46</v>
      </c>
      <c r="E12" s="3">
        <f>(1.732*B8*B7*B6)/E11</f>
        <v>10.724544</v>
      </c>
      <c r="F12" s="19"/>
    </row>
    <row r="13" spans="1:8">
      <c r="A13" s="5"/>
      <c r="B13" s="3"/>
      <c r="C13" s="19"/>
      <c r="D13" s="22" t="s">
        <v>50</v>
      </c>
      <c r="E13" s="3">
        <f>(E12/B5)*100</f>
        <v>5.1560307692307692</v>
      </c>
      <c r="F13" s="19"/>
    </row>
    <row r="14" spans="1:8">
      <c r="B14" s="18"/>
      <c r="C14" s="19"/>
      <c r="D14" s="19"/>
      <c r="E14" s="18"/>
      <c r="F14" s="19"/>
    </row>
    <row r="15" spans="1:8">
      <c r="A15" t="s">
        <v>51</v>
      </c>
      <c r="B15" s="18"/>
      <c r="C15" s="19"/>
      <c r="D15" s="19" t="s">
        <v>46</v>
      </c>
      <c r="E15" s="18"/>
      <c r="F15" s="19"/>
    </row>
    <row r="16" spans="1:8">
      <c r="A16" s="5" t="s">
        <v>52</v>
      </c>
      <c r="B16" s="3">
        <f>(208*0.05)</f>
        <v>10.4</v>
      </c>
      <c r="C16" s="19"/>
      <c r="D16" s="19" t="s">
        <v>48</v>
      </c>
      <c r="E16" s="18">
        <v>500000</v>
      </c>
      <c r="F16" s="19"/>
    </row>
    <row r="17" spans="1:13">
      <c r="A17" s="5" t="s">
        <v>53</v>
      </c>
      <c r="B17" s="3">
        <f>(1.732*B8*(B4*1.15)*B6)/B16</f>
        <v>104259.23884615385</v>
      </c>
      <c r="C17" s="19"/>
      <c r="D17" s="22" t="s">
        <v>46</v>
      </c>
      <c r="E17" s="3">
        <f>(1.732*B8*(B4*1.15)*B6)/E16</f>
        <v>2.168592168</v>
      </c>
      <c r="F17" s="19"/>
    </row>
    <row r="18" spans="1:13">
      <c r="A18" s="5"/>
      <c r="B18" s="5"/>
      <c r="D18" s="22" t="s">
        <v>50</v>
      </c>
      <c r="E18" s="3">
        <f>(E17/B5)*100</f>
        <v>1.0425923884615385</v>
      </c>
    </row>
    <row r="20" spans="1:13">
      <c r="A20" s="23" t="s">
        <v>54</v>
      </c>
      <c r="B20" s="23" t="s">
        <v>55</v>
      </c>
      <c r="C20" s="24" t="s">
        <v>56</v>
      </c>
      <c r="D20" s="25"/>
      <c r="E20" s="25"/>
      <c r="G20" s="26" t="s">
        <v>57</v>
      </c>
      <c r="H20" s="27"/>
      <c r="I20" s="27"/>
      <c r="J20" s="27"/>
      <c r="K20" s="27"/>
      <c r="L20" s="27"/>
      <c r="M20" s="27"/>
    </row>
    <row r="21" spans="1:13">
      <c r="A21" s="28" t="s">
        <v>58</v>
      </c>
      <c r="B21" t="s">
        <v>59</v>
      </c>
      <c r="C21" s="1" t="s">
        <v>60</v>
      </c>
      <c r="D21" s="1" t="s">
        <v>61</v>
      </c>
      <c r="E21" s="1" t="s">
        <v>62</v>
      </c>
      <c r="F21" s="1"/>
      <c r="G21" s="1" t="s">
        <v>60</v>
      </c>
      <c r="H21" s="1" t="s">
        <v>61</v>
      </c>
      <c r="I21" s="1" t="s">
        <v>62</v>
      </c>
      <c r="J21" s="1"/>
      <c r="K21" s="1"/>
      <c r="L21" s="1"/>
      <c r="M21" s="1"/>
    </row>
    <row r="22" spans="1:13">
      <c r="A22" s="28" t="s">
        <v>63</v>
      </c>
      <c r="B22" s="1">
        <v>390</v>
      </c>
      <c r="C22" s="1">
        <v>10</v>
      </c>
      <c r="D22" s="1">
        <v>30.8</v>
      </c>
      <c r="E22" s="1">
        <v>14</v>
      </c>
      <c r="F22" s="1"/>
      <c r="G22" s="1">
        <v>10</v>
      </c>
      <c r="H22" s="1">
        <v>179</v>
      </c>
      <c r="I22" s="1">
        <v>81</v>
      </c>
      <c r="J22" s="1"/>
      <c r="K22" s="1"/>
      <c r="L22" s="1"/>
      <c r="M22" s="29" t="s">
        <v>64</v>
      </c>
    </row>
    <row r="23" spans="1:13">
      <c r="A23" s="28" t="s">
        <v>65</v>
      </c>
      <c r="B23" s="1">
        <v>200</v>
      </c>
      <c r="C23" s="1">
        <v>15</v>
      </c>
      <c r="D23" s="1">
        <v>46.2</v>
      </c>
      <c r="E23" s="1">
        <v>21</v>
      </c>
      <c r="F23" s="1"/>
      <c r="G23" s="1">
        <v>15</v>
      </c>
      <c r="H23" s="1">
        <v>257</v>
      </c>
      <c r="I23" s="1">
        <v>116</v>
      </c>
      <c r="J23" s="30" t="s">
        <v>66</v>
      </c>
      <c r="K23" s="30"/>
      <c r="L23" s="30" t="s">
        <v>1</v>
      </c>
      <c r="M23" s="29" t="s">
        <v>67</v>
      </c>
    </row>
    <row r="24" spans="1:13">
      <c r="A24" s="28" t="s">
        <v>68</v>
      </c>
      <c r="B24" s="1">
        <v>200</v>
      </c>
      <c r="C24" s="1">
        <v>20</v>
      </c>
      <c r="D24" s="1">
        <v>59.4</v>
      </c>
      <c r="E24" s="1">
        <v>27</v>
      </c>
      <c r="F24" s="1"/>
      <c r="G24" s="1">
        <v>20</v>
      </c>
      <c r="H24" s="1">
        <v>321</v>
      </c>
      <c r="I24" s="1">
        <v>145</v>
      </c>
      <c r="J24" s="1" t="s">
        <v>69</v>
      </c>
      <c r="K24" s="1">
        <v>52620</v>
      </c>
      <c r="L24" s="1">
        <v>12.89</v>
      </c>
      <c r="M24" s="1">
        <v>85</v>
      </c>
    </row>
    <row r="25" spans="1:13">
      <c r="A25" s="28" t="s">
        <v>70</v>
      </c>
      <c r="B25" s="1">
        <v>300</v>
      </c>
      <c r="C25" s="1">
        <v>25</v>
      </c>
      <c r="D25" s="1">
        <v>74.8</v>
      </c>
      <c r="E25" s="1">
        <v>34</v>
      </c>
      <c r="F25" s="1"/>
      <c r="G25" s="1">
        <v>25</v>
      </c>
      <c r="H25" s="1">
        <v>404</v>
      </c>
      <c r="I25" s="1">
        <v>183</v>
      </c>
      <c r="J25" s="1" t="s">
        <v>71</v>
      </c>
      <c r="K25" s="1">
        <v>66360</v>
      </c>
      <c r="L25" s="1">
        <v>12.87</v>
      </c>
      <c r="M25" s="1">
        <v>95</v>
      </c>
    </row>
    <row r="26" spans="1:13">
      <c r="A26" s="28" t="s">
        <v>72</v>
      </c>
      <c r="B26" s="1" t="s">
        <v>73</v>
      </c>
      <c r="C26" s="1">
        <v>30</v>
      </c>
      <c r="D26" s="1">
        <v>88</v>
      </c>
      <c r="E26" s="1">
        <v>40</v>
      </c>
      <c r="F26" s="1"/>
      <c r="G26" s="1">
        <v>30</v>
      </c>
      <c r="H26" s="1">
        <v>481</v>
      </c>
      <c r="I26" s="1">
        <v>218</v>
      </c>
      <c r="J26" s="1" t="s">
        <v>74</v>
      </c>
      <c r="K26" s="1">
        <v>83690</v>
      </c>
      <c r="L26" s="1">
        <v>12.88</v>
      </c>
      <c r="M26" s="1">
        <v>110</v>
      </c>
    </row>
    <row r="27" spans="1:13">
      <c r="A27" s="28" t="s">
        <v>75</v>
      </c>
      <c r="B27" s="1">
        <v>240</v>
      </c>
      <c r="C27" s="1">
        <v>40</v>
      </c>
      <c r="D27" s="1">
        <v>114</v>
      </c>
      <c r="E27" s="1">
        <v>52</v>
      </c>
      <c r="F27" s="1"/>
      <c r="G27" s="1">
        <v>40</v>
      </c>
      <c r="H27" s="1">
        <v>641</v>
      </c>
      <c r="I27" s="1">
        <v>290</v>
      </c>
      <c r="J27" s="1" t="s">
        <v>76</v>
      </c>
      <c r="K27" s="1">
        <v>105600</v>
      </c>
      <c r="L27" s="1">
        <v>12.88</v>
      </c>
      <c r="M27" s="1">
        <v>150</v>
      </c>
    </row>
    <row r="28" spans="1:13">
      <c r="B28" s="1"/>
      <c r="C28" s="1">
        <v>50</v>
      </c>
      <c r="D28" s="1">
        <v>143</v>
      </c>
      <c r="E28" s="1">
        <v>65</v>
      </c>
      <c r="F28" s="1"/>
      <c r="G28" s="1">
        <v>50</v>
      </c>
      <c r="H28" s="1">
        <v>802</v>
      </c>
      <c r="I28" s="1">
        <v>363</v>
      </c>
      <c r="J28" s="1" t="s">
        <v>77</v>
      </c>
      <c r="K28" s="1">
        <v>133100</v>
      </c>
      <c r="L28" s="1">
        <v>12.87</v>
      </c>
      <c r="M28" s="1">
        <v>175</v>
      </c>
    </row>
    <row r="29" spans="1:13">
      <c r="B29" s="1"/>
      <c r="C29" s="1">
        <v>60</v>
      </c>
      <c r="D29" s="1">
        <v>169</v>
      </c>
      <c r="E29" s="1">
        <v>77</v>
      </c>
      <c r="F29" s="1"/>
      <c r="G29" s="1">
        <v>60</v>
      </c>
      <c r="H29" s="1">
        <v>962</v>
      </c>
      <c r="I29" s="1">
        <v>435</v>
      </c>
      <c r="J29" s="1" t="s">
        <v>78</v>
      </c>
      <c r="K29" s="1">
        <v>167800</v>
      </c>
      <c r="L29" s="1">
        <v>12.85</v>
      </c>
      <c r="M29" s="1">
        <v>200</v>
      </c>
    </row>
    <row r="30" spans="1:13">
      <c r="B30" s="1"/>
      <c r="C30" s="1">
        <v>75</v>
      </c>
      <c r="D30" s="1">
        <v>211</v>
      </c>
      <c r="E30" s="1">
        <v>96</v>
      </c>
      <c r="F30" s="1"/>
      <c r="G30" s="1">
        <v>75</v>
      </c>
      <c r="H30" s="1">
        <v>1200</v>
      </c>
      <c r="I30" s="1">
        <v>543</v>
      </c>
      <c r="J30" s="1" t="s">
        <v>79</v>
      </c>
      <c r="K30" s="1">
        <v>211600</v>
      </c>
      <c r="L30" s="1">
        <v>12.86</v>
      </c>
      <c r="M30" s="1">
        <v>230</v>
      </c>
    </row>
    <row r="31" spans="1:13">
      <c r="B31" s="1"/>
      <c r="C31" s="1">
        <v>100</v>
      </c>
      <c r="D31" s="1">
        <v>273</v>
      </c>
      <c r="E31" s="1">
        <v>124</v>
      </c>
      <c r="F31" s="1"/>
      <c r="G31" s="1">
        <v>100</v>
      </c>
      <c r="H31" s="1">
        <v>1603</v>
      </c>
      <c r="I31" s="1">
        <v>725</v>
      </c>
      <c r="J31" s="1" t="s">
        <v>80</v>
      </c>
      <c r="K31" s="1">
        <v>250000</v>
      </c>
      <c r="L31" s="1">
        <v>12.88</v>
      </c>
      <c r="M31" s="1">
        <v>255</v>
      </c>
    </row>
    <row r="32" spans="1:13">
      <c r="B32" s="1"/>
      <c r="C32" s="1">
        <v>125</v>
      </c>
      <c r="D32" s="1">
        <v>343</v>
      </c>
      <c r="E32" s="1">
        <v>156</v>
      </c>
      <c r="F32" s="1"/>
      <c r="G32" s="1">
        <v>125</v>
      </c>
      <c r="H32" s="1">
        <v>2007</v>
      </c>
      <c r="I32" s="1">
        <v>908</v>
      </c>
      <c r="J32" s="1" t="s">
        <v>81</v>
      </c>
      <c r="K32" s="1">
        <v>350000</v>
      </c>
      <c r="L32" s="1">
        <v>12.9</v>
      </c>
      <c r="M32" s="1">
        <v>310</v>
      </c>
    </row>
    <row r="33" spans="2:13">
      <c r="B33" s="1"/>
      <c r="C33" s="1">
        <v>150</v>
      </c>
      <c r="D33" s="1">
        <v>396</v>
      </c>
      <c r="E33" s="1">
        <v>180</v>
      </c>
      <c r="F33" s="1"/>
      <c r="G33" s="1">
        <v>150</v>
      </c>
      <c r="H33" s="1">
        <v>2400</v>
      </c>
      <c r="I33" s="1">
        <v>1085</v>
      </c>
      <c r="J33" s="1" t="s">
        <v>82</v>
      </c>
      <c r="K33" s="1">
        <v>500000</v>
      </c>
      <c r="L33" s="1">
        <v>12.9</v>
      </c>
      <c r="M33" s="1">
        <v>380</v>
      </c>
    </row>
    <row r="34" spans="2:13">
      <c r="B34" s="1"/>
      <c r="C34" s="1">
        <v>200</v>
      </c>
      <c r="D34" s="1">
        <v>528</v>
      </c>
      <c r="E34" s="1">
        <v>240</v>
      </c>
      <c r="F34" s="1"/>
      <c r="G34" s="1">
        <v>200</v>
      </c>
      <c r="H34" s="1">
        <v>3207</v>
      </c>
      <c r="I34" s="1">
        <v>1450</v>
      </c>
      <c r="J34" s="1"/>
      <c r="K34" s="1"/>
      <c r="L34" s="1"/>
      <c r="M34" s="1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4"/>
  <sheetViews>
    <sheetView workbookViewId="0">
      <selection activeCell="E2" sqref="E2"/>
    </sheetView>
  </sheetViews>
  <sheetFormatPr baseColWidth="10" defaultColWidth="8.83203125" defaultRowHeight="13"/>
  <cols>
    <col min="1" max="1" width="24.33203125" customWidth="1"/>
    <col min="2" max="2" width="16" customWidth="1"/>
    <col min="3" max="3" width="17.6640625" customWidth="1"/>
    <col min="4" max="4" width="15.33203125" customWidth="1"/>
    <col min="5" max="5" width="10.5" customWidth="1"/>
    <col min="6" max="6" width="20.1640625" customWidth="1"/>
  </cols>
  <sheetData>
    <row r="1" spans="1:16">
      <c r="A1" s="32" t="s">
        <v>268</v>
      </c>
      <c r="B1" s="32"/>
      <c r="D1" t="s">
        <v>271</v>
      </c>
      <c r="E1" s="83">
        <v>41729</v>
      </c>
    </row>
    <row r="2" spans="1:16">
      <c r="A2" s="33" t="s">
        <v>108</v>
      </c>
      <c r="B2">
        <v>0</v>
      </c>
      <c r="F2" s="38"/>
      <c r="G2" s="38" t="s">
        <v>105</v>
      </c>
      <c r="H2" s="38"/>
      <c r="I2" s="38">
        <f>B2*B3</f>
        <v>0</v>
      </c>
      <c r="J2" s="38"/>
      <c r="K2" s="39" t="s">
        <v>261</v>
      </c>
      <c r="L2" s="48">
        <f>I2*0.14</f>
        <v>0</v>
      </c>
      <c r="M2" s="48"/>
      <c r="N2" s="48"/>
    </row>
    <row r="3" spans="1:16">
      <c r="A3" s="33" t="s">
        <v>107</v>
      </c>
      <c r="B3">
        <v>1</v>
      </c>
      <c r="G3" s="37" t="s">
        <v>106</v>
      </c>
      <c r="H3" s="37"/>
      <c r="I3" s="37">
        <f>D55</f>
        <v>0</v>
      </c>
      <c r="J3" s="37"/>
      <c r="K3" s="37" t="s">
        <v>141</v>
      </c>
      <c r="L3" s="49">
        <f>I2*0.21</f>
        <v>0</v>
      </c>
      <c r="M3" s="49"/>
      <c r="N3" s="49"/>
    </row>
    <row r="4" spans="1:16">
      <c r="B4" s="34"/>
      <c r="C4" s="34"/>
      <c r="D4" s="34"/>
      <c r="E4" s="34"/>
      <c r="F4" s="34"/>
      <c r="G4" s="39" t="s">
        <v>112</v>
      </c>
      <c r="H4" s="34"/>
      <c r="I4" s="39">
        <f>(I2-I3)</f>
        <v>0</v>
      </c>
      <c r="J4" s="39"/>
      <c r="K4" s="39" t="s">
        <v>142</v>
      </c>
      <c r="L4" s="50" t="e">
        <f>(I4/I2)</f>
        <v>#DIV/0!</v>
      </c>
      <c r="M4" s="50"/>
      <c r="N4" s="50"/>
      <c r="O4" s="1"/>
    </row>
    <row r="5" spans="1:16">
      <c r="B5" s="34"/>
      <c r="C5" s="34"/>
      <c r="D5" s="34"/>
      <c r="E5" s="34"/>
      <c r="F5" s="34"/>
      <c r="G5" s="40" t="s">
        <v>113</v>
      </c>
      <c r="H5" s="40"/>
      <c r="I5" s="41" t="e">
        <f>I3/B2</f>
        <v>#DIV/0!</v>
      </c>
      <c r="J5" s="39"/>
      <c r="K5" s="35"/>
      <c r="L5" s="35"/>
      <c r="M5" s="35"/>
      <c r="N5" s="35"/>
      <c r="O5" s="1"/>
    </row>
    <row r="6" spans="1:16">
      <c r="A6" s="2" t="s">
        <v>109</v>
      </c>
      <c r="B6" s="2" t="s">
        <v>110</v>
      </c>
      <c r="C6" s="2" t="s">
        <v>111</v>
      </c>
      <c r="D6" s="2" t="s">
        <v>150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6">
      <c r="A7" s="85"/>
      <c r="B7" s="85"/>
      <c r="C7" s="86">
        <v>0</v>
      </c>
      <c r="D7" s="1">
        <f>B7*C7</f>
        <v>0</v>
      </c>
      <c r="E7" s="1"/>
      <c r="F7" s="1"/>
      <c r="G7" s="1"/>
      <c r="H7" s="1"/>
      <c r="I7" s="1"/>
      <c r="J7" s="1"/>
      <c r="K7" s="1"/>
      <c r="L7" s="1"/>
      <c r="M7" s="1"/>
      <c r="N7" s="1"/>
      <c r="O7" s="36"/>
      <c r="P7" s="21"/>
    </row>
    <row r="8" spans="1:16">
      <c r="A8" s="85"/>
      <c r="B8" s="85"/>
      <c r="C8" s="86">
        <v>0</v>
      </c>
      <c r="D8" s="1">
        <f t="shared" ref="D8:D54" si="0">B8*C8</f>
        <v>0</v>
      </c>
      <c r="E8" s="2"/>
      <c r="F8" s="2"/>
      <c r="G8" s="2"/>
      <c r="H8" s="2"/>
      <c r="I8" s="2"/>
      <c r="J8" s="2"/>
      <c r="K8" s="2"/>
      <c r="L8" s="2"/>
      <c r="M8" s="2"/>
      <c r="N8" s="2"/>
      <c r="O8" s="36"/>
      <c r="P8" s="21"/>
    </row>
    <row r="9" spans="1:16">
      <c r="A9" s="85"/>
      <c r="B9" s="85"/>
      <c r="C9" s="86">
        <v>0</v>
      </c>
      <c r="D9" s="1">
        <f t="shared" si="0"/>
        <v>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6">
      <c r="A10" s="86"/>
      <c r="B10" s="87"/>
      <c r="C10" s="86">
        <v>0</v>
      </c>
      <c r="D10" s="1">
        <f t="shared" si="0"/>
        <v>0</v>
      </c>
    </row>
    <row r="11" spans="1:16">
      <c r="A11" s="86"/>
      <c r="B11" s="87"/>
      <c r="C11" s="86">
        <v>0</v>
      </c>
      <c r="D11" s="1">
        <f t="shared" si="0"/>
        <v>0</v>
      </c>
    </row>
    <row r="12" spans="1:16">
      <c r="A12" s="85"/>
      <c r="B12" s="85"/>
      <c r="C12" s="86">
        <v>0</v>
      </c>
      <c r="D12" s="1">
        <f t="shared" si="0"/>
        <v>0</v>
      </c>
      <c r="E12" s="38"/>
      <c r="F12" s="38"/>
    </row>
    <row r="13" spans="1:16">
      <c r="A13" s="85"/>
      <c r="B13" s="85"/>
      <c r="C13" s="86">
        <v>0</v>
      </c>
      <c r="D13" s="1">
        <f t="shared" si="0"/>
        <v>0</v>
      </c>
      <c r="E13" s="37"/>
      <c r="F13" s="21"/>
    </row>
    <row r="14" spans="1:16">
      <c r="A14" s="85"/>
      <c r="B14" s="85"/>
      <c r="C14" s="86">
        <v>0</v>
      </c>
      <c r="D14" s="1">
        <f t="shared" si="0"/>
        <v>0</v>
      </c>
      <c r="E14" s="39"/>
      <c r="F14" s="39"/>
    </row>
    <row r="15" spans="1:16">
      <c r="A15" s="85"/>
      <c r="B15" s="85"/>
      <c r="C15" s="86">
        <v>0</v>
      </c>
      <c r="D15" s="1">
        <f t="shared" si="0"/>
        <v>0</v>
      </c>
      <c r="E15" s="39"/>
      <c r="F15" s="39"/>
    </row>
    <row r="16" spans="1:16">
      <c r="A16" s="85"/>
      <c r="B16" s="85"/>
      <c r="C16" s="86">
        <v>0</v>
      </c>
      <c r="D16" s="1">
        <f t="shared" si="0"/>
        <v>0</v>
      </c>
    </row>
    <row r="17" spans="1:8">
      <c r="A17" s="85"/>
      <c r="B17" s="85"/>
      <c r="C17" s="86">
        <v>0</v>
      </c>
      <c r="D17" s="1">
        <f t="shared" si="0"/>
        <v>0</v>
      </c>
    </row>
    <row r="18" spans="1:8">
      <c r="A18" s="85"/>
      <c r="B18" s="85"/>
      <c r="C18" s="86">
        <v>0</v>
      </c>
      <c r="D18" s="1">
        <f t="shared" si="0"/>
        <v>0</v>
      </c>
      <c r="E18" s="36"/>
      <c r="F18" s="36"/>
    </row>
    <row r="19" spans="1:8">
      <c r="A19" s="85"/>
      <c r="B19" s="85"/>
      <c r="C19" s="86">
        <v>0</v>
      </c>
      <c r="D19" s="1">
        <f t="shared" si="0"/>
        <v>0</v>
      </c>
      <c r="E19" s="35"/>
      <c r="F19" s="45"/>
    </row>
    <row r="20" spans="1:8">
      <c r="A20" s="85"/>
      <c r="B20" s="85"/>
      <c r="C20" s="86">
        <v>0</v>
      </c>
      <c r="D20" s="1">
        <f t="shared" si="0"/>
        <v>0</v>
      </c>
      <c r="E20" s="35"/>
      <c r="F20" s="45"/>
    </row>
    <row r="21" spans="1:8">
      <c r="A21" s="85"/>
      <c r="B21" s="85"/>
      <c r="C21" s="86">
        <v>0</v>
      </c>
      <c r="D21" s="1">
        <f t="shared" si="0"/>
        <v>0</v>
      </c>
      <c r="E21" s="35"/>
      <c r="F21" s="45"/>
    </row>
    <row r="22" spans="1:8">
      <c r="A22" s="85"/>
      <c r="B22" s="85"/>
      <c r="C22" s="86">
        <v>0</v>
      </c>
      <c r="D22" s="1">
        <f t="shared" si="0"/>
        <v>0</v>
      </c>
      <c r="E22" s="35"/>
      <c r="F22" s="45"/>
    </row>
    <row r="23" spans="1:8">
      <c r="A23" s="85"/>
      <c r="B23" s="85"/>
      <c r="C23" s="86">
        <v>0</v>
      </c>
      <c r="D23" s="1">
        <f t="shared" si="0"/>
        <v>0</v>
      </c>
      <c r="E23" s="35"/>
      <c r="F23" s="45"/>
      <c r="G23" s="1"/>
      <c r="H23" s="1"/>
    </row>
    <row r="24" spans="1:8">
      <c r="A24" s="85"/>
      <c r="B24" s="85"/>
      <c r="C24" s="86">
        <v>0</v>
      </c>
      <c r="D24" s="1">
        <f t="shared" si="0"/>
        <v>0</v>
      </c>
      <c r="E24" s="35"/>
      <c r="F24" s="45"/>
    </row>
    <row r="25" spans="1:8">
      <c r="A25" s="85"/>
      <c r="B25" s="85"/>
      <c r="C25" s="86">
        <v>0</v>
      </c>
      <c r="D25" s="1">
        <f t="shared" si="0"/>
        <v>0</v>
      </c>
      <c r="E25" s="35"/>
      <c r="F25" s="45"/>
    </row>
    <row r="26" spans="1:8">
      <c r="A26" s="85"/>
      <c r="B26" s="85"/>
      <c r="C26" s="86">
        <v>0</v>
      </c>
      <c r="D26" s="1">
        <f t="shared" si="0"/>
        <v>0</v>
      </c>
      <c r="E26" s="35"/>
      <c r="F26" s="45"/>
    </row>
    <row r="27" spans="1:8">
      <c r="A27" s="85"/>
      <c r="B27" s="85"/>
      <c r="C27" s="86">
        <v>0</v>
      </c>
      <c r="D27" s="1">
        <f t="shared" si="0"/>
        <v>0</v>
      </c>
      <c r="E27" s="35"/>
      <c r="F27" s="45"/>
    </row>
    <row r="28" spans="1:8">
      <c r="A28" s="85"/>
      <c r="B28" s="85"/>
      <c r="C28" s="86">
        <v>0</v>
      </c>
      <c r="D28" s="1">
        <f t="shared" si="0"/>
        <v>0</v>
      </c>
      <c r="E28" s="35"/>
      <c r="F28" s="45"/>
    </row>
    <row r="29" spans="1:8">
      <c r="A29" s="85"/>
      <c r="B29" s="85"/>
      <c r="C29" s="86">
        <v>0</v>
      </c>
      <c r="D29" s="1">
        <f t="shared" si="0"/>
        <v>0</v>
      </c>
      <c r="E29" s="35"/>
      <c r="F29" s="45"/>
    </row>
    <row r="30" spans="1:8">
      <c r="A30" s="85"/>
      <c r="B30" s="85"/>
      <c r="C30" s="86">
        <v>0</v>
      </c>
      <c r="D30" s="1">
        <f t="shared" si="0"/>
        <v>0</v>
      </c>
      <c r="E30" s="35"/>
      <c r="F30" s="45"/>
    </row>
    <row r="31" spans="1:8">
      <c r="A31" s="85"/>
      <c r="B31" s="85"/>
      <c r="C31" s="86">
        <v>0</v>
      </c>
      <c r="D31" s="1">
        <f t="shared" si="0"/>
        <v>0</v>
      </c>
      <c r="E31" s="35"/>
      <c r="F31" s="45"/>
    </row>
    <row r="32" spans="1:8">
      <c r="A32" s="85"/>
      <c r="B32" s="85"/>
      <c r="C32" s="86">
        <v>0</v>
      </c>
      <c r="D32" s="1">
        <f t="shared" si="0"/>
        <v>0</v>
      </c>
      <c r="E32" s="35"/>
      <c r="F32" s="45"/>
    </row>
    <row r="33" spans="1:6">
      <c r="A33" s="85"/>
      <c r="B33" s="85"/>
      <c r="C33" s="86">
        <v>0</v>
      </c>
      <c r="D33" s="1">
        <f t="shared" si="0"/>
        <v>0</v>
      </c>
      <c r="E33" s="35"/>
      <c r="F33" s="45"/>
    </row>
    <row r="34" spans="1:6">
      <c r="A34" s="85"/>
      <c r="B34" s="85"/>
      <c r="C34" s="86">
        <v>0</v>
      </c>
      <c r="D34" s="1">
        <f t="shared" si="0"/>
        <v>0</v>
      </c>
      <c r="E34" s="35"/>
      <c r="F34" s="45"/>
    </row>
    <row r="35" spans="1:6">
      <c r="A35" s="85"/>
      <c r="B35" s="85"/>
      <c r="C35" s="86">
        <v>0</v>
      </c>
      <c r="D35" s="1">
        <f t="shared" si="0"/>
        <v>0</v>
      </c>
      <c r="E35" s="35"/>
      <c r="F35" s="45"/>
    </row>
    <row r="36" spans="1:6">
      <c r="A36" s="85"/>
      <c r="B36" s="85"/>
      <c r="C36" s="86">
        <v>0</v>
      </c>
      <c r="D36" s="1">
        <f t="shared" si="0"/>
        <v>0</v>
      </c>
      <c r="E36" s="35"/>
      <c r="F36" s="45"/>
    </row>
    <row r="37" spans="1:6">
      <c r="A37" s="85"/>
      <c r="B37" s="85"/>
      <c r="C37" s="86">
        <v>0</v>
      </c>
      <c r="D37" s="1">
        <f t="shared" si="0"/>
        <v>0</v>
      </c>
      <c r="E37" s="35"/>
      <c r="F37" s="45"/>
    </row>
    <row r="38" spans="1:6">
      <c r="A38" s="85"/>
      <c r="B38" s="85"/>
      <c r="C38" s="86">
        <v>0</v>
      </c>
      <c r="D38" s="1">
        <f t="shared" si="0"/>
        <v>0</v>
      </c>
      <c r="E38" s="35"/>
      <c r="F38" s="45"/>
    </row>
    <row r="39" spans="1:6">
      <c r="A39" s="85"/>
      <c r="B39" s="85"/>
      <c r="C39" s="86">
        <v>0</v>
      </c>
      <c r="D39" s="1">
        <f t="shared" si="0"/>
        <v>0</v>
      </c>
      <c r="E39" s="35"/>
      <c r="F39" s="45"/>
    </row>
    <row r="40" spans="1:6">
      <c r="A40" s="85"/>
      <c r="B40" s="85"/>
      <c r="C40" s="86">
        <v>0</v>
      </c>
      <c r="D40" s="1">
        <f t="shared" si="0"/>
        <v>0</v>
      </c>
      <c r="E40" s="35"/>
      <c r="F40" s="45"/>
    </row>
    <row r="41" spans="1:6">
      <c r="A41" s="85"/>
      <c r="B41" s="85"/>
      <c r="C41" s="86">
        <v>0</v>
      </c>
      <c r="D41" s="1">
        <f t="shared" si="0"/>
        <v>0</v>
      </c>
      <c r="E41" s="35"/>
      <c r="F41" s="45"/>
    </row>
    <row r="42" spans="1:6">
      <c r="A42" s="85"/>
      <c r="B42" s="85"/>
      <c r="C42" s="86">
        <v>0</v>
      </c>
      <c r="D42" s="1">
        <f t="shared" si="0"/>
        <v>0</v>
      </c>
      <c r="E42" s="35"/>
      <c r="F42" s="45"/>
    </row>
    <row r="43" spans="1:6">
      <c r="A43" s="85"/>
      <c r="B43" s="85"/>
      <c r="C43" s="86">
        <v>0</v>
      </c>
      <c r="D43" s="1">
        <f t="shared" si="0"/>
        <v>0</v>
      </c>
      <c r="E43" s="35"/>
      <c r="F43" s="45"/>
    </row>
    <row r="44" spans="1:6">
      <c r="A44" s="85"/>
      <c r="B44" s="85"/>
      <c r="C44" s="86">
        <v>0</v>
      </c>
      <c r="D44" s="1">
        <f t="shared" si="0"/>
        <v>0</v>
      </c>
      <c r="E44" s="35"/>
      <c r="F44" s="45"/>
    </row>
    <row r="45" spans="1:6">
      <c r="A45" s="85"/>
      <c r="B45" s="85"/>
      <c r="C45" s="86">
        <v>0</v>
      </c>
      <c r="D45" s="1">
        <f t="shared" si="0"/>
        <v>0</v>
      </c>
      <c r="E45" s="35"/>
      <c r="F45" s="45"/>
    </row>
    <row r="46" spans="1:6">
      <c r="A46" s="85"/>
      <c r="B46" s="85"/>
      <c r="C46" s="86">
        <v>0</v>
      </c>
      <c r="D46" s="1">
        <f t="shared" si="0"/>
        <v>0</v>
      </c>
      <c r="E46" s="35"/>
      <c r="F46" s="45"/>
    </row>
    <row r="47" spans="1:6">
      <c r="A47" s="85"/>
      <c r="B47" s="85"/>
      <c r="C47" s="86">
        <v>0</v>
      </c>
      <c r="D47" s="1">
        <f t="shared" si="0"/>
        <v>0</v>
      </c>
      <c r="E47" s="46"/>
      <c r="F47" s="47"/>
    </row>
    <row r="48" spans="1:6">
      <c r="A48" s="85"/>
      <c r="B48" s="85"/>
      <c r="C48" s="86">
        <v>0</v>
      </c>
      <c r="D48" s="1">
        <f t="shared" si="0"/>
        <v>0</v>
      </c>
    </row>
    <row r="49" spans="1:4">
      <c r="A49" s="85"/>
      <c r="B49" s="85"/>
      <c r="C49" s="86">
        <v>0</v>
      </c>
      <c r="D49" s="1">
        <f t="shared" si="0"/>
        <v>0</v>
      </c>
    </row>
    <row r="50" spans="1:4">
      <c r="A50" s="85"/>
      <c r="B50" s="85"/>
      <c r="C50" s="86">
        <v>0</v>
      </c>
      <c r="D50" s="1">
        <f t="shared" si="0"/>
        <v>0</v>
      </c>
    </row>
    <row r="51" spans="1:4">
      <c r="A51" s="85"/>
      <c r="B51" s="85"/>
      <c r="C51" s="86">
        <v>0</v>
      </c>
      <c r="D51" s="1">
        <f t="shared" si="0"/>
        <v>0</v>
      </c>
    </row>
    <row r="52" spans="1:4">
      <c r="A52" s="85"/>
      <c r="B52" s="85"/>
      <c r="C52" s="86">
        <v>0</v>
      </c>
      <c r="D52" s="1">
        <f t="shared" si="0"/>
        <v>0</v>
      </c>
    </row>
    <row r="53" spans="1:4">
      <c r="A53" s="85"/>
      <c r="B53" s="85"/>
      <c r="C53" s="86">
        <v>0</v>
      </c>
      <c r="D53" s="1">
        <f t="shared" si="0"/>
        <v>0</v>
      </c>
    </row>
    <row r="54" spans="1:4">
      <c r="A54" s="85"/>
      <c r="B54" s="85"/>
      <c r="C54" s="86">
        <v>0</v>
      </c>
      <c r="D54" s="1">
        <f t="shared" si="0"/>
        <v>0</v>
      </c>
    </row>
    <row r="55" spans="1:4">
      <c r="A55" s="85"/>
      <c r="B55" s="85"/>
      <c r="C55" s="86" t="s">
        <v>150</v>
      </c>
      <c r="D55" s="1">
        <f>SUM(D7:D54)</f>
        <v>0</v>
      </c>
    </row>
    <row r="57" spans="1:4">
      <c r="A57" s="90" t="s">
        <v>288</v>
      </c>
    </row>
    <row r="58" spans="1:4">
      <c r="A58" s="85" t="s">
        <v>281</v>
      </c>
      <c r="B58" s="88" t="s">
        <v>282</v>
      </c>
      <c r="C58" s="86" t="s">
        <v>287</v>
      </c>
    </row>
    <row r="59" spans="1:4">
      <c r="A59" s="85" t="s">
        <v>238</v>
      </c>
      <c r="B59" s="85">
        <v>0</v>
      </c>
      <c r="C59" s="86">
        <v>100</v>
      </c>
    </row>
    <row r="60" spans="1:4">
      <c r="A60" s="85" t="s">
        <v>239</v>
      </c>
      <c r="B60" s="85">
        <v>1</v>
      </c>
      <c r="C60" s="86">
        <v>100</v>
      </c>
    </row>
    <row r="61" spans="1:4">
      <c r="A61" s="85" t="s">
        <v>283</v>
      </c>
      <c r="B61" s="85">
        <v>0</v>
      </c>
      <c r="C61" s="86">
        <v>100</v>
      </c>
    </row>
    <row r="62" spans="1:4">
      <c r="A62" s="85" t="s">
        <v>284</v>
      </c>
      <c r="B62" s="85">
        <v>0</v>
      </c>
      <c r="C62" s="86">
        <v>250</v>
      </c>
    </row>
    <row r="63" spans="1:4">
      <c r="A63" s="85" t="s">
        <v>285</v>
      </c>
      <c r="B63" s="85">
        <v>0</v>
      </c>
      <c r="C63" s="86">
        <v>250</v>
      </c>
    </row>
    <row r="64" spans="1:4">
      <c r="A64" s="85" t="s">
        <v>286</v>
      </c>
      <c r="B64" s="85">
        <v>0</v>
      </c>
      <c r="C64" s="86">
        <v>71</v>
      </c>
    </row>
  </sheetData>
  <phoneticPr fontId="0" type="noConversion"/>
  <conditionalFormatting sqref="I5">
    <cfRule type="cellIs" dxfId="1" priority="1" stopIfTrue="1" operator="greaterThan">
      <formula>(#REF!)</formula>
    </cfRule>
  </conditionalFormatting>
  <conditionalFormatting sqref="I4 F14:F15 K4:N4">
    <cfRule type="cellIs" dxfId="0" priority="2" stopIfTrue="1" operator="lessThan">
      <formula>0</formula>
    </cfRule>
  </conditionalFormatting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7"/>
  <sheetViews>
    <sheetView workbookViewId="0">
      <selection activeCell="G91" sqref="G91:H91"/>
    </sheetView>
  </sheetViews>
  <sheetFormatPr baseColWidth="10" defaultColWidth="8.83203125" defaultRowHeight="13"/>
  <cols>
    <col min="1" max="1" width="23.83203125" customWidth="1"/>
    <col min="2" max="2" width="14" customWidth="1"/>
    <col min="3" max="3" width="14.1640625" customWidth="1"/>
    <col min="4" max="4" width="12.6640625" customWidth="1"/>
    <col min="5" max="5" width="20.33203125" customWidth="1"/>
    <col min="6" max="6" width="13.5" customWidth="1"/>
    <col min="7" max="7" width="22.1640625" customWidth="1"/>
    <col min="8" max="8" width="13.1640625" customWidth="1"/>
    <col min="9" max="9" width="11" customWidth="1"/>
    <col min="11" max="11" width="10.6640625" customWidth="1"/>
    <col min="14" max="14" width="10.5" customWidth="1"/>
  </cols>
  <sheetData>
    <row r="1" spans="1:6">
      <c r="A1" s="31" t="s">
        <v>85</v>
      </c>
      <c r="B1" s="31"/>
    </row>
    <row r="2" spans="1:6">
      <c r="A2" s="5" t="s">
        <v>86</v>
      </c>
      <c r="B2" s="5" t="s">
        <v>87</v>
      </c>
      <c r="C2" s="5"/>
      <c r="D2" s="5"/>
      <c r="E2" s="5" t="s">
        <v>88</v>
      </c>
      <c r="F2" s="5" t="s">
        <v>8</v>
      </c>
    </row>
    <row r="3" spans="1:6">
      <c r="A3" s="5" t="s">
        <v>89</v>
      </c>
      <c r="B3">
        <v>1</v>
      </c>
      <c r="C3">
        <v>0</v>
      </c>
      <c r="D3">
        <v>0</v>
      </c>
      <c r="E3">
        <v>1.5</v>
      </c>
      <c r="F3" s="5">
        <f t="shared" ref="F3:F24" si="0">(B3+C3+D3)*E3</f>
        <v>1.5</v>
      </c>
    </row>
    <row r="4" spans="1:6">
      <c r="A4" s="5" t="s">
        <v>90</v>
      </c>
      <c r="B4">
        <v>1</v>
      </c>
      <c r="C4">
        <v>0</v>
      </c>
      <c r="D4">
        <v>0</v>
      </c>
      <c r="E4">
        <v>1.3</v>
      </c>
      <c r="F4" s="5">
        <f t="shared" si="0"/>
        <v>1.3</v>
      </c>
    </row>
    <row r="5" spans="1:6">
      <c r="A5" s="5" t="s">
        <v>91</v>
      </c>
      <c r="B5">
        <v>1</v>
      </c>
      <c r="C5">
        <v>0</v>
      </c>
      <c r="D5">
        <v>0</v>
      </c>
      <c r="E5">
        <v>0.9</v>
      </c>
      <c r="F5" s="5">
        <f t="shared" si="0"/>
        <v>0.9</v>
      </c>
    </row>
    <row r="6" spans="1:6">
      <c r="A6" s="5" t="s">
        <v>92</v>
      </c>
      <c r="B6">
        <v>1</v>
      </c>
      <c r="C6">
        <v>0</v>
      </c>
      <c r="D6">
        <v>0</v>
      </c>
      <c r="E6">
        <v>0.6</v>
      </c>
      <c r="F6" s="5">
        <f t="shared" si="0"/>
        <v>0.6</v>
      </c>
    </row>
    <row r="7" spans="1:6">
      <c r="A7" s="5" t="s">
        <v>93</v>
      </c>
      <c r="B7">
        <v>1</v>
      </c>
      <c r="C7">
        <v>0</v>
      </c>
      <c r="D7">
        <v>0</v>
      </c>
      <c r="E7">
        <v>0.5</v>
      </c>
      <c r="F7" s="5">
        <f t="shared" si="0"/>
        <v>0.5</v>
      </c>
    </row>
    <row r="8" spans="1:6">
      <c r="A8" s="5" t="s">
        <v>94</v>
      </c>
      <c r="B8">
        <v>1</v>
      </c>
      <c r="C8">
        <v>0</v>
      </c>
      <c r="D8">
        <v>0</v>
      </c>
      <c r="E8">
        <v>1.2</v>
      </c>
      <c r="F8" s="5">
        <f t="shared" si="0"/>
        <v>1.2</v>
      </c>
    </row>
    <row r="9" spans="1:6">
      <c r="A9" s="5" t="s">
        <v>95</v>
      </c>
      <c r="B9">
        <v>1</v>
      </c>
      <c r="C9">
        <v>0</v>
      </c>
      <c r="D9">
        <v>0</v>
      </c>
      <c r="E9">
        <v>1.3</v>
      </c>
      <c r="F9" s="5">
        <f t="shared" si="0"/>
        <v>1.3</v>
      </c>
    </row>
    <row r="10" spans="1:6">
      <c r="A10" s="5" t="s">
        <v>96</v>
      </c>
      <c r="B10">
        <v>1</v>
      </c>
      <c r="C10">
        <v>0</v>
      </c>
      <c r="D10">
        <v>0</v>
      </c>
      <c r="E10">
        <v>1.1000000000000001</v>
      </c>
      <c r="F10" s="5">
        <f t="shared" si="0"/>
        <v>1.1000000000000001</v>
      </c>
    </row>
    <row r="11" spans="1:6">
      <c r="A11" s="5" t="s">
        <v>241</v>
      </c>
      <c r="B11">
        <v>1</v>
      </c>
      <c r="C11">
        <v>0</v>
      </c>
      <c r="D11">
        <v>0</v>
      </c>
      <c r="E11">
        <v>1.3</v>
      </c>
      <c r="F11" s="5">
        <f t="shared" si="0"/>
        <v>1.3</v>
      </c>
    </row>
    <row r="12" spans="1:6">
      <c r="A12" s="5" t="s">
        <v>256</v>
      </c>
      <c r="B12">
        <v>1</v>
      </c>
      <c r="C12">
        <v>0</v>
      </c>
      <c r="D12">
        <v>0</v>
      </c>
      <c r="E12">
        <v>0.8</v>
      </c>
      <c r="F12" s="5">
        <f t="shared" si="0"/>
        <v>0.8</v>
      </c>
    </row>
    <row r="13" spans="1:6">
      <c r="A13" s="5" t="s">
        <v>98</v>
      </c>
      <c r="B13">
        <v>1</v>
      </c>
      <c r="C13">
        <v>0</v>
      </c>
      <c r="D13">
        <v>0</v>
      </c>
      <c r="E13">
        <v>0.2</v>
      </c>
      <c r="F13" s="5">
        <f t="shared" si="0"/>
        <v>0.2</v>
      </c>
    </row>
    <row r="14" spans="1:6">
      <c r="A14" s="5" t="s">
        <v>240</v>
      </c>
      <c r="B14">
        <v>1</v>
      </c>
      <c r="C14">
        <v>0</v>
      </c>
      <c r="D14">
        <v>0</v>
      </c>
      <c r="E14">
        <v>1.4</v>
      </c>
      <c r="F14" s="5">
        <f t="shared" si="0"/>
        <v>1.4</v>
      </c>
    </row>
    <row r="15" spans="1:6">
      <c r="A15" s="5" t="s">
        <v>242</v>
      </c>
      <c r="B15">
        <v>1</v>
      </c>
      <c r="C15">
        <v>0</v>
      </c>
      <c r="D15">
        <v>0</v>
      </c>
      <c r="E15">
        <v>1.4</v>
      </c>
      <c r="F15" s="5">
        <f t="shared" si="0"/>
        <v>1.4</v>
      </c>
    </row>
    <row r="16" spans="1:6">
      <c r="A16" s="5" t="s">
        <v>248</v>
      </c>
      <c r="B16">
        <v>1</v>
      </c>
      <c r="C16">
        <v>0</v>
      </c>
      <c r="D16">
        <v>0</v>
      </c>
      <c r="E16">
        <v>0.9</v>
      </c>
      <c r="F16" s="5">
        <f t="shared" si="0"/>
        <v>0.9</v>
      </c>
    </row>
    <row r="17" spans="1:7">
      <c r="A17" s="5" t="s">
        <v>247</v>
      </c>
      <c r="B17">
        <v>1</v>
      </c>
      <c r="C17">
        <v>0</v>
      </c>
      <c r="D17">
        <v>0</v>
      </c>
      <c r="E17">
        <v>0.6</v>
      </c>
      <c r="F17" s="5">
        <f t="shared" si="0"/>
        <v>0.6</v>
      </c>
    </row>
    <row r="18" spans="1:7">
      <c r="A18" s="5" t="s">
        <v>250</v>
      </c>
      <c r="B18">
        <v>1</v>
      </c>
      <c r="C18">
        <v>0</v>
      </c>
      <c r="D18">
        <v>0</v>
      </c>
      <c r="E18">
        <v>2.6</v>
      </c>
      <c r="F18" s="5">
        <f t="shared" si="0"/>
        <v>2.6</v>
      </c>
    </row>
    <row r="19" spans="1:7">
      <c r="A19" s="5" t="s">
        <v>252</v>
      </c>
      <c r="B19">
        <v>1</v>
      </c>
      <c r="C19">
        <v>0</v>
      </c>
      <c r="D19">
        <v>0</v>
      </c>
      <c r="E19">
        <v>0.6</v>
      </c>
      <c r="F19" s="5">
        <f t="shared" si="0"/>
        <v>0.6</v>
      </c>
    </row>
    <row r="20" spans="1:7">
      <c r="A20" s="5" t="s">
        <v>253</v>
      </c>
      <c r="B20">
        <v>1</v>
      </c>
      <c r="C20">
        <v>0</v>
      </c>
      <c r="D20">
        <v>0</v>
      </c>
      <c r="E20">
        <v>1.2</v>
      </c>
      <c r="F20" s="5">
        <f t="shared" si="0"/>
        <v>1.2</v>
      </c>
    </row>
    <row r="21" spans="1:7">
      <c r="A21" s="5" t="s">
        <v>254</v>
      </c>
      <c r="B21">
        <v>1</v>
      </c>
      <c r="C21">
        <v>0</v>
      </c>
      <c r="D21">
        <v>0</v>
      </c>
      <c r="E21">
        <v>0.6</v>
      </c>
      <c r="F21" s="5">
        <f t="shared" si="0"/>
        <v>0.6</v>
      </c>
    </row>
    <row r="22" spans="1:7">
      <c r="A22" s="5" t="s">
        <v>243</v>
      </c>
      <c r="B22">
        <v>1</v>
      </c>
      <c r="C22">
        <v>0</v>
      </c>
      <c r="D22">
        <v>0</v>
      </c>
      <c r="E22">
        <v>1.4</v>
      </c>
      <c r="F22" s="5">
        <f t="shared" si="0"/>
        <v>1.4</v>
      </c>
    </row>
    <row r="23" spans="1:7">
      <c r="A23" s="5" t="s">
        <v>249</v>
      </c>
      <c r="B23">
        <v>1</v>
      </c>
      <c r="C23">
        <v>0</v>
      </c>
      <c r="D23">
        <v>0</v>
      </c>
      <c r="E23">
        <v>1.9</v>
      </c>
      <c r="F23" s="5">
        <f t="shared" si="0"/>
        <v>1.9</v>
      </c>
    </row>
    <row r="24" spans="1:7">
      <c r="A24" s="5" t="s">
        <v>257</v>
      </c>
      <c r="B24">
        <v>1</v>
      </c>
      <c r="C24">
        <v>0</v>
      </c>
      <c r="D24">
        <v>0</v>
      </c>
      <c r="E24">
        <v>0.9</v>
      </c>
      <c r="F24" s="5">
        <f t="shared" si="0"/>
        <v>0.9</v>
      </c>
    </row>
    <row r="25" spans="1:7">
      <c r="A25" s="5" t="s">
        <v>99</v>
      </c>
      <c r="B25" s="5">
        <f>SUM(B3:B24)</f>
        <v>22</v>
      </c>
      <c r="C25" s="5">
        <f>SUM(C3:C24)</f>
        <v>0</v>
      </c>
      <c r="D25" s="5">
        <f>SUM(D3:D24)</f>
        <v>0</v>
      </c>
      <c r="E25" s="5" t="s">
        <v>104</v>
      </c>
      <c r="F25" s="21">
        <f>SUM(F3:F24)</f>
        <v>24.2</v>
      </c>
    </row>
    <row r="26" spans="1:7">
      <c r="E26" s="5" t="s">
        <v>99</v>
      </c>
      <c r="F26" s="5">
        <f>SUM(B25:D25)</f>
        <v>22</v>
      </c>
    </row>
    <row r="27" spans="1:7">
      <c r="E27" s="5" t="s">
        <v>100</v>
      </c>
      <c r="F27" s="22">
        <f>F25/F26</f>
        <v>1.0999999999999999</v>
      </c>
    </row>
    <row r="28" spans="1:7">
      <c r="E28" s="5"/>
      <c r="F28" s="22"/>
    </row>
    <row r="29" spans="1:7">
      <c r="A29" s="31" t="s">
        <v>258</v>
      </c>
      <c r="E29" s="5"/>
      <c r="F29" s="22"/>
    </row>
    <row r="30" spans="1:7">
      <c r="A30" s="5" t="s">
        <v>125</v>
      </c>
      <c r="B30" s="5" t="s">
        <v>171</v>
      </c>
      <c r="C30" s="5" t="s">
        <v>260</v>
      </c>
      <c r="D30" s="5"/>
      <c r="E30" s="5" t="s">
        <v>88</v>
      </c>
      <c r="F30" s="5" t="s">
        <v>8</v>
      </c>
      <c r="G30" s="5" t="s">
        <v>259</v>
      </c>
    </row>
    <row r="31" spans="1:7">
      <c r="A31" t="s">
        <v>29</v>
      </c>
      <c r="B31">
        <v>1</v>
      </c>
      <c r="C31" t="s">
        <v>29</v>
      </c>
      <c r="E31">
        <v>1</v>
      </c>
      <c r="F31" s="5">
        <f>(B31)*E31</f>
        <v>1</v>
      </c>
      <c r="G31">
        <v>1</v>
      </c>
    </row>
    <row r="32" spans="1:7">
      <c r="A32" t="s">
        <v>29</v>
      </c>
      <c r="B32">
        <v>1</v>
      </c>
      <c r="C32" t="s">
        <v>29</v>
      </c>
      <c r="E32">
        <v>1</v>
      </c>
      <c r="F32" s="5">
        <f t="shared" ref="F32:F37" si="1">(B32)*E32</f>
        <v>1</v>
      </c>
      <c r="G32">
        <v>1</v>
      </c>
    </row>
    <row r="33" spans="1:7">
      <c r="A33" t="s">
        <v>29</v>
      </c>
      <c r="B33">
        <v>1</v>
      </c>
      <c r="C33" t="s">
        <v>29</v>
      </c>
      <c r="E33">
        <v>1</v>
      </c>
      <c r="F33" s="5">
        <f t="shared" si="1"/>
        <v>1</v>
      </c>
      <c r="G33">
        <v>1</v>
      </c>
    </row>
    <row r="34" spans="1:7">
      <c r="A34" t="s">
        <v>29</v>
      </c>
      <c r="B34">
        <v>1</v>
      </c>
      <c r="C34" t="s">
        <v>29</v>
      </c>
      <c r="E34">
        <v>1</v>
      </c>
      <c r="F34" s="5">
        <f t="shared" si="1"/>
        <v>1</v>
      </c>
      <c r="G34">
        <v>1</v>
      </c>
    </row>
    <row r="35" spans="1:7">
      <c r="A35" t="s">
        <v>29</v>
      </c>
      <c r="B35">
        <v>1</v>
      </c>
      <c r="C35" t="s">
        <v>29</v>
      </c>
      <c r="E35">
        <v>1</v>
      </c>
      <c r="F35" s="5">
        <f t="shared" si="1"/>
        <v>1</v>
      </c>
      <c r="G35">
        <v>1</v>
      </c>
    </row>
    <row r="36" spans="1:7">
      <c r="A36" t="s">
        <v>29</v>
      </c>
      <c r="B36">
        <v>1</v>
      </c>
      <c r="C36" t="s">
        <v>29</v>
      </c>
      <c r="E36">
        <v>1</v>
      </c>
      <c r="F36" s="5">
        <f t="shared" si="1"/>
        <v>1</v>
      </c>
      <c r="G36">
        <v>1</v>
      </c>
    </row>
    <row r="37" spans="1:7">
      <c r="A37" t="s">
        <v>29</v>
      </c>
      <c r="B37">
        <v>1</v>
      </c>
      <c r="C37" t="s">
        <v>29</v>
      </c>
      <c r="E37">
        <v>1</v>
      </c>
      <c r="F37" s="5">
        <f t="shared" si="1"/>
        <v>1</v>
      </c>
      <c r="G37">
        <v>1</v>
      </c>
    </row>
    <row r="38" spans="1:7">
      <c r="F38" s="5"/>
    </row>
    <row r="39" spans="1:7">
      <c r="F39" s="5"/>
    </row>
    <row r="41" spans="1:7">
      <c r="A41" s="5" t="s">
        <v>101</v>
      </c>
    </row>
    <row r="42" spans="1:7">
      <c r="A42" s="5" t="s">
        <v>8</v>
      </c>
      <c r="B42">
        <v>0</v>
      </c>
    </row>
    <row r="43" spans="1:7">
      <c r="A43" s="5"/>
    </row>
    <row r="44" spans="1:7">
      <c r="A44" s="5" t="s">
        <v>102</v>
      </c>
      <c r="B44">
        <v>0</v>
      </c>
    </row>
    <row r="45" spans="1:7">
      <c r="A45" s="5"/>
    </row>
    <row r="46" spans="1:7">
      <c r="A46" s="5" t="s">
        <v>103</v>
      </c>
      <c r="B46" s="22" t="e">
        <f>B42/B44</f>
        <v>#DIV/0!</v>
      </c>
      <c r="C46" s="19"/>
      <c r="D46" s="19"/>
    </row>
    <row r="49" spans="1:8">
      <c r="A49" s="21" t="s">
        <v>243</v>
      </c>
      <c r="B49" s="21" t="s">
        <v>125</v>
      </c>
      <c r="D49" s="21" t="s">
        <v>244</v>
      </c>
      <c r="E49" s="21" t="s">
        <v>125</v>
      </c>
      <c r="G49" s="21" t="s">
        <v>248</v>
      </c>
      <c r="H49" s="21" t="s">
        <v>125</v>
      </c>
    </row>
    <row r="50" spans="1:8">
      <c r="A50" s="49"/>
      <c r="B50" s="49"/>
      <c r="D50" s="49"/>
      <c r="E50" s="49"/>
      <c r="G50" s="49"/>
      <c r="H50" s="49"/>
    </row>
    <row r="51" spans="1:8">
      <c r="A51" s="49"/>
      <c r="B51" s="49"/>
      <c r="D51" s="49"/>
      <c r="E51" s="49"/>
    </row>
    <row r="52" spans="1:8">
      <c r="A52" s="49"/>
      <c r="B52" s="49"/>
      <c r="D52" s="49"/>
      <c r="E52" s="49"/>
    </row>
    <row r="53" spans="1:8">
      <c r="A53" s="49" t="s">
        <v>150</v>
      </c>
      <c r="B53" s="49">
        <f>SUM(B50:B52)</f>
        <v>0</v>
      </c>
      <c r="D53" s="49"/>
      <c r="E53" s="49"/>
    </row>
    <row r="54" spans="1:8">
      <c r="D54" s="49"/>
      <c r="E54" s="49"/>
    </row>
    <row r="55" spans="1:8">
      <c r="A55" s="21" t="s">
        <v>251</v>
      </c>
      <c r="B55" s="21" t="s">
        <v>125</v>
      </c>
      <c r="D55" s="49"/>
      <c r="E55" s="49"/>
      <c r="G55" s="21" t="s">
        <v>253</v>
      </c>
      <c r="H55" s="21" t="s">
        <v>125</v>
      </c>
    </row>
    <row r="56" spans="1:8">
      <c r="A56" s="49"/>
      <c r="B56" s="49"/>
      <c r="D56" s="49"/>
      <c r="E56" s="49"/>
      <c r="G56" s="49"/>
      <c r="H56" s="49"/>
    </row>
    <row r="57" spans="1:8">
      <c r="A57" s="49"/>
      <c r="B57" s="49"/>
      <c r="D57" s="49"/>
      <c r="E57" s="49"/>
      <c r="G57" s="49"/>
      <c r="H57" s="49"/>
    </row>
    <row r="58" spans="1:8">
      <c r="A58" s="49"/>
      <c r="B58" s="49"/>
      <c r="D58" s="49"/>
      <c r="E58" s="49"/>
      <c r="G58" s="49" t="s">
        <v>150</v>
      </c>
      <c r="H58" s="49">
        <f>SUM(H56:H57)</f>
        <v>0</v>
      </c>
    </row>
    <row r="59" spans="1:8">
      <c r="A59" s="49"/>
      <c r="B59" s="49"/>
      <c r="D59" s="49"/>
      <c r="E59" s="49"/>
    </row>
    <row r="60" spans="1:8">
      <c r="A60" s="49"/>
      <c r="B60" s="49"/>
      <c r="D60" s="49"/>
      <c r="E60" s="49"/>
    </row>
    <row r="61" spans="1:8">
      <c r="A61" s="49"/>
      <c r="B61" s="49"/>
      <c r="D61" s="49"/>
      <c r="E61" s="49"/>
    </row>
    <row r="62" spans="1:8">
      <c r="A62" s="49"/>
      <c r="B62" s="49"/>
      <c r="D62" s="49"/>
      <c r="E62" s="49"/>
      <c r="G62" s="21" t="s">
        <v>247</v>
      </c>
      <c r="H62" s="21" t="s">
        <v>125</v>
      </c>
    </row>
    <row r="63" spans="1:8">
      <c r="A63" s="49"/>
      <c r="B63" s="49"/>
      <c r="D63" s="49"/>
      <c r="E63" s="49"/>
      <c r="G63" s="49"/>
      <c r="H63" s="49"/>
    </row>
    <row r="64" spans="1:8">
      <c r="A64" s="49"/>
      <c r="B64" s="49"/>
      <c r="D64" s="49"/>
      <c r="E64" s="49"/>
      <c r="G64" s="49"/>
      <c r="H64" s="49"/>
    </row>
    <row r="65" spans="1:8">
      <c r="A65" s="49"/>
      <c r="B65" s="49"/>
      <c r="D65" s="49"/>
      <c r="E65" s="49"/>
      <c r="G65" s="49"/>
      <c r="H65" s="49"/>
    </row>
    <row r="66" spans="1:8">
      <c r="A66" s="49" t="s">
        <v>150</v>
      </c>
      <c r="B66" s="49">
        <f>SUM(B56:B65)</f>
        <v>0</v>
      </c>
      <c r="D66" s="49"/>
      <c r="E66" s="49"/>
      <c r="G66" s="49"/>
      <c r="H66" s="49"/>
    </row>
    <row r="67" spans="1:8">
      <c r="D67" s="49"/>
      <c r="E67" s="49"/>
      <c r="G67" s="49" t="s">
        <v>150</v>
      </c>
      <c r="H67" s="49">
        <f>SUM(H63:H66)</f>
        <v>0</v>
      </c>
    </row>
    <row r="68" spans="1:8">
      <c r="A68" s="21" t="s">
        <v>95</v>
      </c>
      <c r="B68" s="21" t="s">
        <v>125</v>
      </c>
      <c r="D68" s="49" t="s">
        <v>150</v>
      </c>
      <c r="E68" s="49">
        <f>SUM(E50:E67)</f>
        <v>0</v>
      </c>
    </row>
    <row r="69" spans="1:8">
      <c r="A69" s="49"/>
      <c r="B69" s="49"/>
    </row>
    <row r="71" spans="1:8">
      <c r="D71" s="21" t="s">
        <v>249</v>
      </c>
      <c r="E71" s="21" t="s">
        <v>125</v>
      </c>
      <c r="G71" s="81" t="s">
        <v>257</v>
      </c>
      <c r="H71" s="81" t="s">
        <v>125</v>
      </c>
    </row>
    <row r="72" spans="1:8">
      <c r="D72" s="49">
        <v>108</v>
      </c>
      <c r="E72" s="49">
        <v>931</v>
      </c>
      <c r="G72" s="82"/>
      <c r="H72" s="82"/>
    </row>
    <row r="74" spans="1:8">
      <c r="A74" s="21" t="s">
        <v>250</v>
      </c>
      <c r="B74" s="21" t="s">
        <v>125</v>
      </c>
      <c r="D74" s="21" t="s">
        <v>245</v>
      </c>
      <c r="E74" s="21" t="s">
        <v>125</v>
      </c>
    </row>
    <row r="75" spans="1:8">
      <c r="A75" s="49"/>
      <c r="B75" s="49"/>
      <c r="D75" s="49">
        <v>116</v>
      </c>
      <c r="E75" s="49">
        <v>4909</v>
      </c>
      <c r="G75" s="21" t="s">
        <v>94</v>
      </c>
      <c r="H75" s="21" t="s">
        <v>125</v>
      </c>
    </row>
    <row r="76" spans="1:8">
      <c r="A76" s="49"/>
      <c r="B76" s="49"/>
      <c r="D76" s="49">
        <v>121</v>
      </c>
      <c r="E76" s="49">
        <v>385</v>
      </c>
      <c r="G76" s="49"/>
      <c r="H76" s="49"/>
    </row>
    <row r="77" spans="1:8">
      <c r="A77" s="49" t="s">
        <v>150</v>
      </c>
      <c r="B77" s="49">
        <v>1</v>
      </c>
      <c r="D77" s="49">
        <v>110</v>
      </c>
      <c r="E77" s="49">
        <v>171</v>
      </c>
      <c r="G77" s="49"/>
      <c r="H77" s="49"/>
    </row>
    <row r="78" spans="1:8">
      <c r="D78" s="49" t="s">
        <v>150</v>
      </c>
      <c r="E78" s="49">
        <f>SUM(E75:E77)</f>
        <v>5465</v>
      </c>
      <c r="G78" s="49" t="s">
        <v>150</v>
      </c>
      <c r="H78" s="49">
        <f>SUM(H76:H77)</f>
        <v>0</v>
      </c>
    </row>
    <row r="80" spans="1:8">
      <c r="A80" s="21" t="s">
        <v>97</v>
      </c>
      <c r="B80" s="21" t="s">
        <v>125</v>
      </c>
    </row>
    <row r="81" spans="1:8">
      <c r="A81" s="49"/>
      <c r="B81" s="49"/>
    </row>
    <row r="82" spans="1:8">
      <c r="A82" s="49"/>
      <c r="B82" s="49"/>
      <c r="G82" s="21" t="s">
        <v>254</v>
      </c>
      <c r="H82" s="21" t="s">
        <v>125</v>
      </c>
    </row>
    <row r="83" spans="1:8">
      <c r="A83" s="49"/>
      <c r="B83" s="49"/>
      <c r="G83" s="49"/>
      <c r="H83" s="49"/>
    </row>
    <row r="84" spans="1:8">
      <c r="A84" s="49"/>
      <c r="B84" s="49"/>
      <c r="D84" s="21" t="s">
        <v>91</v>
      </c>
      <c r="E84" s="21" t="s">
        <v>125</v>
      </c>
      <c r="G84" s="49"/>
      <c r="H84" s="49"/>
    </row>
    <row r="85" spans="1:8">
      <c r="A85" s="49"/>
      <c r="B85" s="49"/>
      <c r="D85" s="49"/>
      <c r="E85" s="49"/>
      <c r="G85" s="49"/>
      <c r="H85" s="49"/>
    </row>
    <row r="86" spans="1:8">
      <c r="A86" s="49"/>
      <c r="B86" s="49"/>
      <c r="D86" s="49"/>
      <c r="E86" s="49"/>
      <c r="G86" s="49" t="s">
        <v>150</v>
      </c>
      <c r="H86" s="49">
        <f>SUM(H83:H85)</f>
        <v>0</v>
      </c>
    </row>
    <row r="87" spans="1:8">
      <c r="A87" s="49"/>
      <c r="B87" s="49"/>
      <c r="D87" s="49"/>
      <c r="E87" s="49"/>
    </row>
    <row r="88" spans="1:8">
      <c r="A88" s="49"/>
      <c r="B88" s="49"/>
      <c r="D88" s="49"/>
      <c r="E88" s="49"/>
    </row>
    <row r="89" spans="1:8">
      <c r="A89" s="49"/>
      <c r="B89" s="49"/>
      <c r="D89" s="49"/>
      <c r="E89" s="49"/>
    </row>
    <row r="90" spans="1:8">
      <c r="A90" s="49"/>
      <c r="B90" s="49"/>
      <c r="D90" s="49"/>
      <c r="E90" s="49"/>
      <c r="G90" s="21" t="s">
        <v>255</v>
      </c>
      <c r="H90" s="21" t="s">
        <v>125</v>
      </c>
    </row>
    <row r="91" spans="1:8">
      <c r="A91" s="49"/>
      <c r="B91" s="49"/>
      <c r="D91" s="49"/>
      <c r="E91" s="49"/>
      <c r="G91" s="49"/>
      <c r="H91" s="49"/>
    </row>
    <row r="92" spans="1:8">
      <c r="A92" s="49"/>
      <c r="B92" s="49"/>
      <c r="D92" s="49"/>
      <c r="E92" s="49"/>
    </row>
    <row r="93" spans="1:8">
      <c r="A93" s="49"/>
      <c r="B93" s="49"/>
      <c r="D93" s="49"/>
      <c r="E93" s="49"/>
    </row>
    <row r="94" spans="1:8">
      <c r="A94" s="49"/>
      <c r="B94" s="49"/>
      <c r="D94" s="49"/>
      <c r="E94" s="49"/>
      <c r="G94" s="21" t="s">
        <v>90</v>
      </c>
      <c r="H94" s="21" t="s">
        <v>125</v>
      </c>
    </row>
    <row r="95" spans="1:8">
      <c r="A95" s="49"/>
      <c r="B95" s="49"/>
      <c r="D95" s="49"/>
      <c r="E95" s="49"/>
      <c r="G95" s="49"/>
      <c r="H95" s="49"/>
    </row>
    <row r="96" spans="1:8">
      <c r="A96" s="49"/>
      <c r="B96" s="49"/>
      <c r="D96" s="49"/>
      <c r="E96" s="49"/>
      <c r="G96" s="49"/>
      <c r="H96" s="49"/>
    </row>
    <row r="97" spans="1:8">
      <c r="A97" s="49"/>
      <c r="B97" s="49"/>
      <c r="D97" s="49"/>
      <c r="E97" s="49"/>
      <c r="G97" s="49"/>
      <c r="H97" s="49"/>
    </row>
    <row r="98" spans="1:8">
      <c r="A98" s="49"/>
      <c r="B98" s="49"/>
      <c r="D98" s="49"/>
      <c r="E98" s="49"/>
      <c r="G98" s="49"/>
      <c r="H98" s="49"/>
    </row>
    <row r="99" spans="1:8">
      <c r="A99" s="49"/>
      <c r="B99" s="49"/>
      <c r="D99" s="49"/>
      <c r="E99" s="49"/>
      <c r="G99" s="49"/>
      <c r="H99" s="49"/>
    </row>
    <row r="100" spans="1:8">
      <c r="A100" s="49"/>
      <c r="B100" s="49"/>
      <c r="D100" s="49" t="s">
        <v>150</v>
      </c>
      <c r="E100" s="49">
        <f>SUM(E85:E99)</f>
        <v>0</v>
      </c>
      <c r="G100" s="49"/>
      <c r="H100" s="49"/>
    </row>
    <row r="101" spans="1:8">
      <c r="A101" s="49"/>
      <c r="B101" s="49"/>
      <c r="G101" s="49"/>
      <c r="H101" s="49"/>
    </row>
    <row r="102" spans="1:8">
      <c r="A102" s="49"/>
      <c r="B102" s="49"/>
      <c r="D102" s="21" t="s">
        <v>246</v>
      </c>
      <c r="E102" s="21" t="s">
        <v>125</v>
      </c>
      <c r="G102" s="49" t="s">
        <v>150</v>
      </c>
      <c r="H102" s="49">
        <f>SUM(H95:H101)</f>
        <v>0</v>
      </c>
    </row>
    <row r="103" spans="1:8">
      <c r="A103" s="49"/>
      <c r="B103" s="49"/>
      <c r="D103" s="49"/>
      <c r="E103" s="49"/>
    </row>
    <row r="104" spans="1:8">
      <c r="A104" s="49"/>
      <c r="B104" s="49"/>
      <c r="D104" s="49"/>
      <c r="E104" s="49"/>
    </row>
    <row r="105" spans="1:8">
      <c r="A105" s="49"/>
      <c r="B105" s="49"/>
      <c r="D105" s="49"/>
      <c r="E105" s="49"/>
      <c r="G105" s="21" t="s">
        <v>252</v>
      </c>
      <c r="H105" s="21" t="s">
        <v>125</v>
      </c>
    </row>
    <row r="106" spans="1:8">
      <c r="A106" s="49"/>
      <c r="B106" s="49"/>
      <c r="D106" s="49"/>
      <c r="E106" s="49"/>
      <c r="G106" s="49"/>
      <c r="H106" s="49"/>
    </row>
    <row r="107" spans="1:8">
      <c r="A107" s="49"/>
      <c r="B107" s="49"/>
      <c r="D107" s="49"/>
      <c r="E107" s="49"/>
    </row>
    <row r="108" spans="1:8">
      <c r="A108" s="49"/>
      <c r="B108" s="49"/>
      <c r="D108" s="49"/>
      <c r="E108" s="49"/>
    </row>
    <row r="109" spans="1:8">
      <c r="A109" s="49"/>
      <c r="B109" s="49"/>
      <c r="D109" s="49"/>
      <c r="E109" s="49"/>
    </row>
    <row r="110" spans="1:8">
      <c r="A110" s="49"/>
      <c r="B110" s="49"/>
      <c r="D110" s="49"/>
      <c r="E110" s="49"/>
    </row>
    <row r="111" spans="1:8">
      <c r="A111" s="49" t="s">
        <v>150</v>
      </c>
      <c r="B111" s="49">
        <f>SUM(B81:B110)</f>
        <v>0</v>
      </c>
      <c r="D111" s="49"/>
      <c r="E111" s="49"/>
    </row>
    <row r="112" spans="1:8">
      <c r="D112" s="49"/>
      <c r="E112" s="49"/>
    </row>
    <row r="113" spans="4:5">
      <c r="D113" s="49"/>
      <c r="E113" s="49"/>
    </row>
    <row r="114" spans="4:5">
      <c r="D114" s="49"/>
      <c r="E114" s="49"/>
    </row>
    <row r="115" spans="4:5">
      <c r="D115" s="49"/>
      <c r="E115" s="49"/>
    </row>
    <row r="116" spans="4:5">
      <c r="D116" s="49"/>
      <c r="E116" s="49"/>
    </row>
    <row r="117" spans="4:5">
      <c r="D117" s="49" t="s">
        <v>150</v>
      </c>
      <c r="E117" s="49">
        <f>SUM(E103:E116)</f>
        <v>0</v>
      </c>
    </row>
  </sheetData>
  <phoneticPr fontId="0" type="noConversion"/>
  <pageMargins left="0.75" right="0.75" top="1" bottom="1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J39"/>
  <sheetViews>
    <sheetView topLeftCell="A8" workbookViewId="0">
      <selection activeCell="D4" sqref="D4"/>
    </sheetView>
  </sheetViews>
  <sheetFormatPr baseColWidth="10" defaultColWidth="8.83203125" defaultRowHeight="13"/>
  <cols>
    <col min="1" max="1" width="12.83203125" customWidth="1"/>
    <col min="2" max="2" width="10.1640625" bestFit="1" customWidth="1"/>
    <col min="3" max="3" width="17.1640625" customWidth="1"/>
    <col min="4" max="4" width="14.5" customWidth="1"/>
    <col min="5" max="5" width="9.83203125" customWidth="1"/>
    <col min="6" max="6" width="10.33203125" customWidth="1"/>
    <col min="7" max="7" width="7.83203125" customWidth="1"/>
    <col min="12" max="12" width="11" customWidth="1"/>
    <col min="13" max="13" width="6" customWidth="1"/>
    <col min="14" max="14" width="6.1640625" customWidth="1"/>
  </cols>
  <sheetData>
    <row r="1" spans="1:10">
      <c r="A1" s="12" t="s">
        <v>37</v>
      </c>
      <c r="B1" s="13"/>
      <c r="C1" s="13"/>
      <c r="D1" s="5" t="s">
        <v>17</v>
      </c>
      <c r="E1">
        <v>2</v>
      </c>
    </row>
    <row r="2" spans="1:10">
      <c r="D2" t="s">
        <v>18</v>
      </c>
    </row>
    <row r="3" spans="1:10">
      <c r="A3" s="2" t="s">
        <v>0</v>
      </c>
      <c r="B3" s="2" t="s">
        <v>2</v>
      </c>
      <c r="C3" s="2" t="s">
        <v>7</v>
      </c>
      <c r="D3" s="2" t="s">
        <v>6</v>
      </c>
      <c r="E3" s="2" t="s">
        <v>8</v>
      </c>
      <c r="F3" s="2" t="s">
        <v>13</v>
      </c>
      <c r="G3" s="2" t="s">
        <v>3</v>
      </c>
      <c r="H3" s="2" t="s">
        <v>4</v>
      </c>
      <c r="I3" s="2" t="s">
        <v>1</v>
      </c>
      <c r="J3" s="2" t="s">
        <v>5</v>
      </c>
    </row>
    <row r="4" spans="1:10">
      <c r="A4" s="1">
        <v>1</v>
      </c>
      <c r="B4" s="1">
        <v>2</v>
      </c>
      <c r="C4" s="2">
        <f>B4</f>
        <v>2</v>
      </c>
      <c r="D4" s="1">
        <v>7.5</v>
      </c>
      <c r="E4" s="2">
        <f>D4+D5+D6+D7+D8+D9+D10+D11+D12+D13+D14+D15+D16+D17+D18</f>
        <v>67.5</v>
      </c>
      <c r="F4" s="4">
        <v>12</v>
      </c>
      <c r="G4" s="3">
        <f>(E1*I4*C4*(E4/F4))/J4</f>
        <v>2.7203757225433525E-2</v>
      </c>
      <c r="H4" s="3">
        <f>(G4/F4)*100</f>
        <v>0.22669797687861268</v>
      </c>
      <c r="I4" s="4">
        <v>12.55</v>
      </c>
      <c r="J4" s="4">
        <v>10380</v>
      </c>
    </row>
    <row r="5" spans="1:10">
      <c r="A5" s="1">
        <v>2</v>
      </c>
      <c r="B5" s="1">
        <v>12</v>
      </c>
      <c r="C5" s="2">
        <f>B4+B5</f>
        <v>14</v>
      </c>
      <c r="D5" s="1">
        <v>7.5</v>
      </c>
      <c r="E5" s="2">
        <f>D5+D6+D7+D8+D9+D10+D11+D12+D13+D14+D15+D16+D17+D18</f>
        <v>60</v>
      </c>
      <c r="F5" s="3">
        <f>F4-G4</f>
        <v>11.972796242774567</v>
      </c>
      <c r="G5" s="3">
        <f>(E1*I5*B5*(E5/F5))/J5</f>
        <v>0.14541636115109219</v>
      </c>
      <c r="H5" s="3">
        <f>((G4+G5)/F4)*100</f>
        <v>1.4385009864710476</v>
      </c>
      <c r="I5" s="4">
        <v>12.55</v>
      </c>
      <c r="J5" s="4">
        <v>10380</v>
      </c>
    </row>
    <row r="6" spans="1:10">
      <c r="A6" s="1">
        <v>3</v>
      </c>
      <c r="B6" s="1">
        <v>12</v>
      </c>
      <c r="C6" s="2">
        <f>B4+B5+B6</f>
        <v>26</v>
      </c>
      <c r="D6" s="1">
        <v>7.5</v>
      </c>
      <c r="E6" s="2">
        <f>D6+D7+D8+D9+D10+D11+D12+D13+D14+D15+D16+D17+D18</f>
        <v>52.5</v>
      </c>
      <c r="F6" s="3">
        <f>F5-G5</f>
        <v>11.827379881623475</v>
      </c>
      <c r="G6" s="3">
        <f>(E1*I6*B6*(E6/F6))/J6</f>
        <v>0.12880370968647439</v>
      </c>
      <c r="H6" s="3">
        <f>((G4+G5+G6)/F4)*100</f>
        <v>2.5118652338583343</v>
      </c>
      <c r="I6" s="4">
        <v>12.55</v>
      </c>
      <c r="J6" s="4">
        <v>10380</v>
      </c>
    </row>
    <row r="7" spans="1:10">
      <c r="A7" s="1">
        <v>4</v>
      </c>
      <c r="B7" s="1">
        <v>12</v>
      </c>
      <c r="C7" s="2">
        <f>B4+B5+B6+B7</f>
        <v>38</v>
      </c>
      <c r="D7" s="1">
        <v>7.5</v>
      </c>
      <c r="E7" s="2">
        <f>D7+D8+D9+D10+D11+D12+D13+D14+D15+D16+D17+D18</f>
        <v>45</v>
      </c>
      <c r="F7" s="3">
        <f t="shared" ref="F7:F18" si="0">F6-G6</f>
        <v>11.698576171937001</v>
      </c>
      <c r="G7" s="3">
        <f>(E1*I7*B7*(E7/F7))/J7</f>
        <v>0.11161874125786062</v>
      </c>
      <c r="H7" s="3">
        <f>((G4+G5+G6+G7)/F4)*100</f>
        <v>3.4420214110071727</v>
      </c>
      <c r="I7" s="4">
        <v>12.55</v>
      </c>
      <c r="J7" s="4">
        <v>10380</v>
      </c>
    </row>
    <row r="8" spans="1:10">
      <c r="A8" s="1">
        <v>5</v>
      </c>
      <c r="B8" s="1">
        <v>12</v>
      </c>
      <c r="C8" s="2">
        <f>B4+B5+B6+B7+B8</f>
        <v>50</v>
      </c>
      <c r="D8" s="1">
        <v>7.5</v>
      </c>
      <c r="E8" s="2">
        <f>D8+D9+D10+D11+D12+D13+D14+D15+D16+D17+D18</f>
        <v>37.5</v>
      </c>
      <c r="F8" s="3">
        <f t="shared" si="0"/>
        <v>11.58695743067914</v>
      </c>
      <c r="G8" s="3">
        <f>(E1*I8*B8*(E8/F8))/J8</f>
        <v>9.3911649846594975E-2</v>
      </c>
      <c r="H8" s="3">
        <f>((G4+G5+G6+G7+G8)/F4)*100</f>
        <v>4.2246184930621302</v>
      </c>
      <c r="I8" s="4">
        <v>12.55</v>
      </c>
      <c r="J8" s="4">
        <v>10380</v>
      </c>
    </row>
    <row r="9" spans="1:10">
      <c r="A9" s="1">
        <v>6</v>
      </c>
      <c r="B9" s="1">
        <v>12</v>
      </c>
      <c r="C9" s="2">
        <f>B4+B5+B6+B7+B8+B9</f>
        <v>62</v>
      </c>
      <c r="D9" s="1">
        <v>7.5</v>
      </c>
      <c r="E9" s="2">
        <f>D9+D10+D11+D12+D13+D14+D15+D16+D17+D18</f>
        <v>30</v>
      </c>
      <c r="F9" s="3">
        <f t="shared" si="0"/>
        <v>11.493045780832546</v>
      </c>
      <c r="G9" s="3">
        <f>(E1*I9*B9*(E9/F9))/J9</f>
        <v>7.574321444587627E-2</v>
      </c>
      <c r="H9" s="3">
        <f>((G4+G5+G6+G7+G8+G9)/F4)*100</f>
        <v>4.8558119467777665</v>
      </c>
      <c r="I9" s="4">
        <v>12.55</v>
      </c>
      <c r="J9" s="4">
        <v>10380</v>
      </c>
    </row>
    <row r="10" spans="1:10">
      <c r="A10" s="1">
        <v>7</v>
      </c>
      <c r="B10" s="1">
        <v>12</v>
      </c>
      <c r="C10" s="2">
        <f>B4+B5+B6+B7+B8+B9+B10</f>
        <v>74</v>
      </c>
      <c r="D10" s="1">
        <v>7.5</v>
      </c>
      <c r="E10" s="2">
        <f>D10+D11+D12+D13+D14+D15+D16+D17+D18</f>
        <v>22.5</v>
      </c>
      <c r="F10" s="3">
        <f t="shared" si="0"/>
        <v>11.41730256638667</v>
      </c>
      <c r="G10" s="3">
        <f>(E1*I10*B10*(E10/F10))/J10</f>
        <v>5.7184275323714263E-2</v>
      </c>
      <c r="H10" s="3">
        <f>((G4+G5+G6+G7+G8+G9+G10)/F4)*100</f>
        <v>5.332347574475385</v>
      </c>
      <c r="I10" s="4">
        <v>12.55</v>
      </c>
      <c r="J10" s="4">
        <v>10380</v>
      </c>
    </row>
    <row r="11" spans="1:10">
      <c r="A11" s="1">
        <v>8</v>
      </c>
      <c r="B11" s="1">
        <v>12</v>
      </c>
      <c r="C11" s="2">
        <f>B4+B5+B6+B7+B8+B9+B10+B11</f>
        <v>86</v>
      </c>
      <c r="D11" s="1">
        <v>7.5</v>
      </c>
      <c r="E11" s="2">
        <f>D11+D12+D13+D14+D15+D16+D17+D18</f>
        <v>15</v>
      </c>
      <c r="F11" s="3">
        <f t="shared" si="0"/>
        <v>11.360118291062957</v>
      </c>
      <c r="G11" s="3">
        <f>(E1*I11*B11*(E11/F11))/J11</f>
        <v>3.831475205230539E-2</v>
      </c>
      <c r="H11" s="3">
        <f>((G4+G5+G6+G7+G8+G9+G10+G11)/F4)*100</f>
        <v>5.6516371749112633</v>
      </c>
      <c r="I11" s="4">
        <v>12.55</v>
      </c>
      <c r="J11" s="4">
        <v>10380</v>
      </c>
    </row>
    <row r="12" spans="1:10">
      <c r="A12" s="1">
        <v>9</v>
      </c>
      <c r="B12" s="1">
        <v>12</v>
      </c>
      <c r="C12" s="2">
        <f>B4+B5+B6+B7+B8+B9+B10+B11+B12</f>
        <v>98</v>
      </c>
      <c r="D12" s="1">
        <v>7.5</v>
      </c>
      <c r="E12" s="2">
        <f>D12+D13+D14+D15+D16+D17+D18</f>
        <v>7.5</v>
      </c>
      <c r="F12" s="3">
        <f t="shared" si="0"/>
        <v>11.321803539010652</v>
      </c>
      <c r="G12" s="3">
        <f>(E1*I12*B12*(E12/F12))/J12</f>
        <v>1.9222207579702069E-2</v>
      </c>
      <c r="H12" s="3">
        <f>((G4+G5+G6+G7+G8+G9+G10+G11+G12)/F4)*100</f>
        <v>5.8118222380754476</v>
      </c>
      <c r="I12" s="4">
        <v>12.55</v>
      </c>
      <c r="J12" s="4">
        <v>10380</v>
      </c>
    </row>
    <row r="13" spans="1:10">
      <c r="A13" s="1">
        <v>10</v>
      </c>
      <c r="B13" s="1">
        <v>12</v>
      </c>
      <c r="C13" s="2">
        <f>B4+B5+B6+B7+B8+B9+B10+B11+B12+B13</f>
        <v>110</v>
      </c>
      <c r="D13" s="1">
        <v>0</v>
      </c>
      <c r="E13" s="2">
        <f>D13+D14+D15+D16+D17+D18</f>
        <v>0</v>
      </c>
      <c r="F13" s="3">
        <f t="shared" si="0"/>
        <v>11.30258133143095</v>
      </c>
      <c r="G13" s="3">
        <f>(E1*I13*B13*(E13/F13))/J13</f>
        <v>0</v>
      </c>
      <c r="H13" s="3">
        <f>((G4+G5+G6+G7+G8+G9+G10+G11+G12+G13)/F4)*100</f>
        <v>5.8118222380754476</v>
      </c>
      <c r="I13" s="4">
        <v>12.55</v>
      </c>
      <c r="J13" s="4">
        <v>10380</v>
      </c>
    </row>
    <row r="14" spans="1:10">
      <c r="A14" s="1">
        <v>11</v>
      </c>
      <c r="B14" s="1">
        <v>0</v>
      </c>
      <c r="C14" s="2">
        <f>B4+B5+B6+B7+B8+B9+B10+B11+B12+B13+B14</f>
        <v>110</v>
      </c>
      <c r="D14" s="1">
        <v>0</v>
      </c>
      <c r="E14" s="2">
        <f>D14+D15+D16+D17+D18</f>
        <v>0</v>
      </c>
      <c r="F14" s="3">
        <f t="shared" si="0"/>
        <v>11.30258133143095</v>
      </c>
      <c r="G14" s="3">
        <f>(E1*I14*B14*(E14/F14))/J14</f>
        <v>0</v>
      </c>
      <c r="H14" s="3">
        <f>((G4+G5+G6+G7+G8+G9+G10+G11+G12+G13+G14)/F4)*100</f>
        <v>5.8118222380754476</v>
      </c>
      <c r="I14" s="4">
        <v>12.55</v>
      </c>
      <c r="J14" s="4">
        <v>10380</v>
      </c>
    </row>
    <row r="15" spans="1:10">
      <c r="A15" s="1">
        <v>12</v>
      </c>
      <c r="B15" s="1">
        <v>0</v>
      </c>
      <c r="C15" s="2">
        <f>B4+B5+B6+B7+B8+B9+B10+B11+B12+B13+B14+B15</f>
        <v>110</v>
      </c>
      <c r="D15" s="1">
        <v>0</v>
      </c>
      <c r="E15" s="2">
        <f>D15+D16+D17+D18</f>
        <v>0</v>
      </c>
      <c r="F15" s="3">
        <f t="shared" si="0"/>
        <v>11.30258133143095</v>
      </c>
      <c r="G15" s="3">
        <f>(E1*I15*B15*(E15/F15))/J15</f>
        <v>0</v>
      </c>
      <c r="H15" s="3">
        <f>((G4+G5+G6+G7+G8+G9+G10+G11+G12+G13+G14+G15)/F4)*100</f>
        <v>5.8118222380754476</v>
      </c>
      <c r="I15" s="4">
        <v>12.55</v>
      </c>
      <c r="J15" s="4">
        <v>10380</v>
      </c>
    </row>
    <row r="16" spans="1:10">
      <c r="A16" s="1">
        <v>13</v>
      </c>
      <c r="B16" s="1">
        <v>0</v>
      </c>
      <c r="C16" s="2">
        <f>B4+B5+B6+B7+B8+B9+B10+B11+B12+B13+B14+B15+B16</f>
        <v>110</v>
      </c>
      <c r="D16" s="1">
        <v>0</v>
      </c>
      <c r="E16" s="2">
        <f>D16+D17+D18</f>
        <v>0</v>
      </c>
      <c r="F16" s="3">
        <f t="shared" si="0"/>
        <v>11.30258133143095</v>
      </c>
      <c r="G16" s="3">
        <f>(E1*I16*B16*(E16/F16))/J16</f>
        <v>0</v>
      </c>
      <c r="H16" s="3">
        <f>((G4+G5+G6+G7+G8+G9+G10+G11+G12+G13+G14+G15+G16)/F4)*100</f>
        <v>5.8118222380754476</v>
      </c>
      <c r="I16" s="4">
        <v>12.55</v>
      </c>
      <c r="J16" s="4">
        <v>10380</v>
      </c>
    </row>
    <row r="17" spans="1:10">
      <c r="A17" s="1">
        <v>14</v>
      </c>
      <c r="B17" s="1">
        <v>0</v>
      </c>
      <c r="C17" s="2">
        <f>B4+B5+B6+B7+B8+B9+B10+B11+B12+B13+B14+B15+B16+B17</f>
        <v>110</v>
      </c>
      <c r="D17" s="1">
        <v>0</v>
      </c>
      <c r="E17" s="2">
        <f>D17+D18</f>
        <v>0</v>
      </c>
      <c r="F17" s="3">
        <f t="shared" si="0"/>
        <v>11.30258133143095</v>
      </c>
      <c r="G17" s="3">
        <f>(E1*I17*B17*(E17/F17))/J17</f>
        <v>0</v>
      </c>
      <c r="H17" s="3">
        <f>((G4+G5+G6+G7+G8+G9+G10+G11+G12+G13+G14+G15+G16+G17)/F4)*100</f>
        <v>5.8118222380754476</v>
      </c>
      <c r="I17" s="4">
        <v>12.55</v>
      </c>
      <c r="J17" s="4">
        <v>10380</v>
      </c>
    </row>
    <row r="18" spans="1:10">
      <c r="A18" s="1">
        <v>15</v>
      </c>
      <c r="B18" s="1">
        <v>0</v>
      </c>
      <c r="C18" s="2">
        <f>B4+B5+B6+B7+B8+B9+B10+B11+B12+B13+B14+B15+B16+B17+B18</f>
        <v>110</v>
      </c>
      <c r="D18" s="1">
        <v>0</v>
      </c>
      <c r="E18" s="2">
        <f>D18</f>
        <v>0</v>
      </c>
      <c r="F18" s="3">
        <f t="shared" si="0"/>
        <v>11.30258133143095</v>
      </c>
      <c r="G18" s="3">
        <f>(E1*I18*B18*(E18/F18))/J18</f>
        <v>0</v>
      </c>
      <c r="H18" s="3">
        <f>((G4+G5+G6+G7+G8+G9+G10+G11+G12+G13+G14+G15+G16+G17+G18)/F4)*100</f>
        <v>5.8118222380754476</v>
      </c>
      <c r="I18" s="4">
        <v>12.55</v>
      </c>
      <c r="J18" s="4">
        <v>10380</v>
      </c>
    </row>
    <row r="19" spans="1:10">
      <c r="A19" s="1"/>
      <c r="B19" s="1"/>
      <c r="C19" s="1"/>
      <c r="D19" s="1"/>
      <c r="E19" s="1"/>
      <c r="F19" s="1"/>
      <c r="G19" s="2"/>
      <c r="H19" s="2"/>
      <c r="I19" s="1"/>
      <c r="J19" s="1"/>
    </row>
    <row r="20" spans="1:10">
      <c r="A20" s="1"/>
      <c r="C20" s="6" t="s">
        <v>16</v>
      </c>
      <c r="D20" s="2">
        <f>SUM(D4:D19)</f>
        <v>67.5</v>
      </c>
    </row>
    <row r="21" spans="1:10">
      <c r="A21" s="1"/>
    </row>
    <row r="22" spans="1:10">
      <c r="A22" s="15"/>
    </row>
    <row r="23" spans="1:10">
      <c r="A23" s="12" t="s">
        <v>36</v>
      </c>
      <c r="B23" s="13"/>
      <c r="C23" s="13"/>
      <c r="E23" s="2" t="s">
        <v>15</v>
      </c>
      <c r="F23" s="1"/>
      <c r="G23" s="1"/>
    </row>
    <row r="24" spans="1:10">
      <c r="A24" s="1"/>
      <c r="E24" s="2" t="s">
        <v>14</v>
      </c>
      <c r="F24" s="2" t="s">
        <v>5</v>
      </c>
      <c r="G24" s="2" t="s">
        <v>1</v>
      </c>
      <c r="H24" s="2" t="s">
        <v>265</v>
      </c>
      <c r="I24" s="2" t="s">
        <v>266</v>
      </c>
    </row>
    <row r="25" spans="1:10">
      <c r="A25" s="2" t="s">
        <v>1</v>
      </c>
      <c r="B25" s="16">
        <v>12.87</v>
      </c>
      <c r="E25" s="1" t="s">
        <v>9</v>
      </c>
      <c r="F25" s="1">
        <v>6530</v>
      </c>
      <c r="G25" s="1">
        <v>12.6</v>
      </c>
      <c r="H25" s="1">
        <v>25</v>
      </c>
      <c r="I25" s="1"/>
    </row>
    <row r="26" spans="1:10">
      <c r="A26" s="2" t="s">
        <v>2</v>
      </c>
      <c r="B26" s="16">
        <v>150</v>
      </c>
      <c r="E26" s="1" t="s">
        <v>12</v>
      </c>
      <c r="F26" s="1">
        <v>10380</v>
      </c>
      <c r="G26" s="1">
        <v>12.55</v>
      </c>
      <c r="H26" s="1">
        <v>30</v>
      </c>
      <c r="I26" s="1"/>
    </row>
    <row r="27" spans="1:10">
      <c r="A27" s="2" t="s">
        <v>31</v>
      </c>
      <c r="B27" s="16">
        <v>725</v>
      </c>
      <c r="E27" s="1" t="s">
        <v>11</v>
      </c>
      <c r="F27" s="1">
        <v>16510</v>
      </c>
      <c r="G27" s="1">
        <v>12.6</v>
      </c>
      <c r="H27" s="1">
        <v>40</v>
      </c>
      <c r="I27" s="1"/>
    </row>
    <row r="28" spans="1:10">
      <c r="A28" s="2" t="s">
        <v>5</v>
      </c>
      <c r="B28" s="1">
        <v>33694</v>
      </c>
      <c r="E28" s="1" t="s">
        <v>10</v>
      </c>
      <c r="F28" s="1">
        <v>26240</v>
      </c>
      <c r="G28" s="1">
        <v>12.88</v>
      </c>
      <c r="H28" s="1">
        <v>55</v>
      </c>
      <c r="I28" s="1"/>
    </row>
    <row r="29" spans="1:10">
      <c r="A29" s="2" t="s">
        <v>13</v>
      </c>
      <c r="B29" s="16">
        <v>480</v>
      </c>
      <c r="E29" s="1" t="s">
        <v>263</v>
      </c>
      <c r="F29" s="1">
        <v>41740</v>
      </c>
      <c r="G29" s="1">
        <v>12.85</v>
      </c>
      <c r="H29" s="1">
        <v>70</v>
      </c>
      <c r="I29" s="1"/>
    </row>
    <row r="30" spans="1:10">
      <c r="A30" s="1"/>
      <c r="B30" s="16"/>
      <c r="E30" s="1" t="s">
        <v>69</v>
      </c>
      <c r="F30" s="1">
        <v>52620</v>
      </c>
      <c r="G30" s="1">
        <v>12.89</v>
      </c>
      <c r="H30" s="1">
        <v>85</v>
      </c>
      <c r="I30" s="1"/>
    </row>
    <row r="31" spans="1:10">
      <c r="A31" s="2" t="s">
        <v>3</v>
      </c>
      <c r="B31" s="17">
        <f>(1.732*B25*B26*B27)/B28</f>
        <v>71.945416097821564</v>
      </c>
      <c r="E31" s="1" t="s">
        <v>71</v>
      </c>
      <c r="F31" s="1">
        <v>66360</v>
      </c>
      <c r="G31" s="1">
        <v>12.87</v>
      </c>
      <c r="H31" s="1">
        <v>95</v>
      </c>
      <c r="I31" s="1"/>
    </row>
    <row r="32" spans="1:10">
      <c r="A32" s="2" t="s">
        <v>4</v>
      </c>
      <c r="B32" s="17">
        <f>(B31/B29)*100</f>
        <v>14.988628353712826</v>
      </c>
      <c r="E32" s="1" t="s">
        <v>74</v>
      </c>
      <c r="F32" s="1">
        <v>83690</v>
      </c>
      <c r="G32" s="1">
        <v>12.88</v>
      </c>
      <c r="H32" s="1">
        <v>111</v>
      </c>
      <c r="I32" s="1">
        <v>130</v>
      </c>
    </row>
    <row r="33" spans="5:9">
      <c r="E33" s="1" t="s">
        <v>76</v>
      </c>
      <c r="F33" s="1">
        <v>105600</v>
      </c>
      <c r="G33" s="1">
        <v>12.88</v>
      </c>
      <c r="H33" s="1"/>
      <c r="I33" s="1">
        <v>150</v>
      </c>
    </row>
    <row r="34" spans="5:9">
      <c r="E34" s="1" t="s">
        <v>77</v>
      </c>
      <c r="F34" s="1">
        <v>133100</v>
      </c>
      <c r="G34" s="1">
        <v>12.87</v>
      </c>
      <c r="H34" s="1"/>
      <c r="I34" s="1">
        <v>175</v>
      </c>
    </row>
    <row r="35" spans="5:9">
      <c r="E35" s="1" t="s">
        <v>78</v>
      </c>
      <c r="F35" s="1">
        <v>167800</v>
      </c>
      <c r="G35" s="1">
        <v>12.85</v>
      </c>
      <c r="H35" s="1"/>
      <c r="I35" s="1">
        <v>200</v>
      </c>
    </row>
    <row r="36" spans="5:9">
      <c r="E36" s="1" t="s">
        <v>79</v>
      </c>
      <c r="F36" s="1">
        <v>211600</v>
      </c>
      <c r="G36" s="1">
        <v>12.86</v>
      </c>
      <c r="H36" s="1"/>
      <c r="I36" s="1">
        <v>230</v>
      </c>
    </row>
    <row r="37" spans="5:9">
      <c r="E37" s="1" t="s">
        <v>80</v>
      </c>
      <c r="F37" s="1">
        <v>250000</v>
      </c>
      <c r="G37" s="1">
        <v>12.88</v>
      </c>
      <c r="H37" s="1"/>
      <c r="I37" s="1">
        <v>255</v>
      </c>
    </row>
    <row r="38" spans="5:9">
      <c r="E38" s="1" t="s">
        <v>82</v>
      </c>
      <c r="F38" s="1">
        <v>500000</v>
      </c>
      <c r="G38" s="1">
        <v>12.9</v>
      </c>
      <c r="H38" s="1"/>
      <c r="I38" s="1">
        <v>380</v>
      </c>
    </row>
    <row r="39" spans="5:9">
      <c r="E39" s="1" t="s">
        <v>264</v>
      </c>
      <c r="F39" s="1">
        <v>1000000</v>
      </c>
      <c r="G39" s="1">
        <v>12.9</v>
      </c>
      <c r="H39" s="1"/>
      <c r="I39" s="1">
        <v>545</v>
      </c>
    </row>
  </sheetData>
  <phoneticPr fontId="0" type="noConversion"/>
  <pageMargins left="0.75" right="0.75" top="1" bottom="1" header="0.5" footer="0.5"/>
  <pageSetup orientation="landscape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51"/>
  <sheetViews>
    <sheetView workbookViewId="0">
      <selection activeCell="G9" sqref="G9"/>
    </sheetView>
  </sheetViews>
  <sheetFormatPr baseColWidth="10" defaultColWidth="8.83203125" defaultRowHeight="13"/>
  <cols>
    <col min="1" max="1" width="17.5" customWidth="1"/>
    <col min="3" max="3" width="14.1640625" customWidth="1"/>
    <col min="7" max="7" width="12.5" customWidth="1"/>
    <col min="8" max="8" width="11.1640625" customWidth="1"/>
    <col min="9" max="9" width="12.83203125" customWidth="1"/>
  </cols>
  <sheetData>
    <row r="1" spans="1:13" ht="16">
      <c r="A1" s="71" t="s">
        <v>237</v>
      </c>
      <c r="I1" s="21">
        <v>15091</v>
      </c>
      <c r="J1" s="5" t="s">
        <v>221</v>
      </c>
    </row>
    <row r="3" spans="1:13" ht="16">
      <c r="A3" s="71" t="s">
        <v>225</v>
      </c>
      <c r="I3" s="5" t="s">
        <v>262</v>
      </c>
      <c r="J3">
        <v>208</v>
      </c>
    </row>
    <row r="5" spans="1:13" ht="14">
      <c r="A5" s="72" t="s">
        <v>232</v>
      </c>
    </row>
    <row r="6" spans="1:13" ht="14">
      <c r="B6" s="73" t="s">
        <v>145</v>
      </c>
      <c r="C6" s="73" t="s">
        <v>146</v>
      </c>
      <c r="D6" s="73" t="s">
        <v>147</v>
      </c>
      <c r="E6" s="73" t="s">
        <v>146</v>
      </c>
      <c r="F6" s="74" t="s">
        <v>148</v>
      </c>
      <c r="G6" s="74" t="s">
        <v>149</v>
      </c>
      <c r="H6" s="74" t="s">
        <v>148</v>
      </c>
      <c r="M6" s="75"/>
    </row>
    <row r="8" spans="1:13">
      <c r="A8" t="s">
        <v>151</v>
      </c>
      <c r="B8">
        <v>3.5</v>
      </c>
      <c r="C8" t="s">
        <v>152</v>
      </c>
      <c r="D8">
        <f>I1</f>
        <v>15091</v>
      </c>
      <c r="E8" t="s">
        <v>153</v>
      </c>
      <c r="F8">
        <f>B8*D8</f>
        <v>52818.5</v>
      </c>
      <c r="G8" s="76">
        <v>1</v>
      </c>
      <c r="H8" s="77">
        <f t="shared" ref="H8:H14" si="0">G8*F8</f>
        <v>52818.5</v>
      </c>
    </row>
    <row r="9" spans="1:13">
      <c r="A9" s="15" t="s">
        <v>235</v>
      </c>
      <c r="B9">
        <v>1</v>
      </c>
      <c r="C9" t="s">
        <v>152</v>
      </c>
      <c r="D9">
        <f>I1</f>
        <v>15091</v>
      </c>
      <c r="E9" t="s">
        <v>153</v>
      </c>
      <c r="F9">
        <v>10000</v>
      </c>
      <c r="G9" s="76">
        <v>1</v>
      </c>
      <c r="H9" s="77">
        <f t="shared" si="0"/>
        <v>10000</v>
      </c>
    </row>
    <row r="10" spans="1:13">
      <c r="E10">
        <f>B9*D9</f>
        <v>15091</v>
      </c>
      <c r="F10" s="77">
        <f>E10-10000</f>
        <v>5091</v>
      </c>
      <c r="G10" s="76">
        <v>0.5</v>
      </c>
      <c r="H10" s="77">
        <f t="shared" si="0"/>
        <v>2545.5</v>
      </c>
    </row>
    <row r="11" spans="1:13">
      <c r="A11" s="33" t="s">
        <v>220</v>
      </c>
      <c r="B11">
        <v>54000</v>
      </c>
      <c r="C11" t="s">
        <v>218</v>
      </c>
      <c r="D11">
        <v>1</v>
      </c>
      <c r="E11" t="s">
        <v>155</v>
      </c>
      <c r="F11">
        <f>D11*B11</f>
        <v>54000</v>
      </c>
      <c r="G11" s="76">
        <v>1</v>
      </c>
      <c r="H11">
        <f t="shared" si="0"/>
        <v>54000</v>
      </c>
    </row>
    <row r="12" spans="1:13">
      <c r="A12" s="33" t="s">
        <v>233</v>
      </c>
      <c r="B12">
        <v>0</v>
      </c>
      <c r="C12" t="s">
        <v>6</v>
      </c>
      <c r="D12">
        <v>1</v>
      </c>
      <c r="E12" t="s">
        <v>222</v>
      </c>
      <c r="F12">
        <f>D12*B12</f>
        <v>0</v>
      </c>
      <c r="G12" s="76">
        <v>1.25</v>
      </c>
      <c r="H12">
        <f t="shared" si="0"/>
        <v>0</v>
      </c>
      <c r="M12" s="19"/>
    </row>
    <row r="13" spans="1:13">
      <c r="A13" s="33" t="s">
        <v>234</v>
      </c>
      <c r="B13">
        <v>0</v>
      </c>
      <c r="C13" t="s">
        <v>6</v>
      </c>
      <c r="D13">
        <v>1</v>
      </c>
      <c r="E13" t="s">
        <v>222</v>
      </c>
      <c r="F13">
        <f>D13*B13</f>
        <v>0</v>
      </c>
      <c r="G13" s="76">
        <v>1</v>
      </c>
      <c r="H13">
        <f t="shared" si="0"/>
        <v>0</v>
      </c>
      <c r="M13" s="19"/>
    </row>
    <row r="14" spans="1:13">
      <c r="A14" s="33" t="s">
        <v>267</v>
      </c>
      <c r="B14">
        <v>0</v>
      </c>
      <c r="C14" t="s">
        <v>152</v>
      </c>
      <c r="D14">
        <f>I1</f>
        <v>15091</v>
      </c>
      <c r="E14" t="s">
        <v>153</v>
      </c>
      <c r="F14">
        <f>B14*D14</f>
        <v>0</v>
      </c>
      <c r="G14" s="76">
        <v>1</v>
      </c>
      <c r="H14" s="77">
        <f t="shared" si="0"/>
        <v>0</v>
      </c>
      <c r="M14" s="19"/>
    </row>
    <row r="15" spans="1:13">
      <c r="A15" s="33"/>
      <c r="G15" s="76"/>
      <c r="M15" s="19"/>
    </row>
    <row r="16" spans="1:13">
      <c r="A16" s="33"/>
      <c r="H16" s="6" t="s">
        <v>219</v>
      </c>
      <c r="I16" s="78">
        <f>SUM(H8:H15)</f>
        <v>119364</v>
      </c>
      <c r="J16" s="5" t="s">
        <v>6</v>
      </c>
      <c r="K16" s="78">
        <f>I16/(J3*1.732)</f>
        <v>331.33105347308583</v>
      </c>
      <c r="L16" s="78" t="s">
        <v>188</v>
      </c>
      <c r="M16" s="19"/>
    </row>
    <row r="17" spans="1:13" ht="16">
      <c r="A17" s="71" t="s">
        <v>280</v>
      </c>
      <c r="K17" s="5"/>
      <c r="L17" s="5"/>
      <c r="M17" s="19"/>
    </row>
    <row r="18" spans="1:13" ht="16">
      <c r="A18" s="71"/>
      <c r="K18" s="5"/>
      <c r="L18" s="5"/>
      <c r="M18" s="19"/>
    </row>
    <row r="19" spans="1:13" ht="14">
      <c r="A19" s="72" t="s">
        <v>232</v>
      </c>
      <c r="K19" s="5"/>
      <c r="L19" s="5"/>
      <c r="M19" s="19"/>
    </row>
    <row r="20" spans="1:13" ht="14">
      <c r="B20" s="73" t="s">
        <v>145</v>
      </c>
      <c r="C20" s="73" t="s">
        <v>146</v>
      </c>
      <c r="D20" s="73" t="s">
        <v>147</v>
      </c>
      <c r="E20" s="73" t="s">
        <v>146</v>
      </c>
      <c r="F20" s="74" t="s">
        <v>148</v>
      </c>
      <c r="G20" s="74" t="s">
        <v>149</v>
      </c>
      <c r="H20" s="74" t="s">
        <v>148</v>
      </c>
      <c r="K20" s="6"/>
      <c r="L20" s="6"/>
    </row>
    <row r="21" spans="1:13">
      <c r="K21" s="5"/>
      <c r="L21" s="5"/>
    </row>
    <row r="22" spans="1:13">
      <c r="A22" s="33" t="s">
        <v>226</v>
      </c>
      <c r="B22">
        <v>20</v>
      </c>
      <c r="C22" t="s">
        <v>152</v>
      </c>
      <c r="D22">
        <f>I1</f>
        <v>15091</v>
      </c>
      <c r="E22" t="s">
        <v>153</v>
      </c>
      <c r="F22">
        <f>D22*B22</f>
        <v>301820</v>
      </c>
      <c r="G22" s="76">
        <v>1</v>
      </c>
      <c r="H22" s="77">
        <f>G22*F22</f>
        <v>301820</v>
      </c>
      <c r="K22" s="5"/>
      <c r="L22" s="5"/>
    </row>
    <row r="23" spans="1:13">
      <c r="A23" s="33" t="s">
        <v>227</v>
      </c>
      <c r="B23">
        <v>4</v>
      </c>
      <c r="C23" t="s">
        <v>152</v>
      </c>
      <c r="D23">
        <f>I1</f>
        <v>15091</v>
      </c>
      <c r="E23" t="s">
        <v>153</v>
      </c>
      <c r="F23">
        <f>D23*B23</f>
        <v>60364</v>
      </c>
      <c r="G23" s="76">
        <v>1</v>
      </c>
      <c r="H23" s="77">
        <f>G23*F23</f>
        <v>60364</v>
      </c>
      <c r="K23" s="5"/>
      <c r="L23" s="5"/>
    </row>
    <row r="24" spans="1:13">
      <c r="A24" s="33" t="s">
        <v>228</v>
      </c>
      <c r="B24">
        <v>1</v>
      </c>
      <c r="C24" t="s">
        <v>152</v>
      </c>
      <c r="D24">
        <f>I1*B24</f>
        <v>15091</v>
      </c>
      <c r="E24" t="s">
        <v>153</v>
      </c>
      <c r="F24">
        <f>D24*B24</f>
        <v>15091</v>
      </c>
      <c r="G24" s="76">
        <v>1</v>
      </c>
      <c r="H24" s="77">
        <f>G24*F24</f>
        <v>15091</v>
      </c>
      <c r="K24" s="5"/>
      <c r="L24" s="5"/>
    </row>
    <row r="25" spans="1:13">
      <c r="A25" s="33"/>
      <c r="G25" s="76"/>
      <c r="H25" s="77"/>
      <c r="K25" s="5"/>
      <c r="L25" s="5"/>
    </row>
    <row r="26" spans="1:13">
      <c r="H26" s="6" t="s">
        <v>219</v>
      </c>
      <c r="I26" s="78">
        <f>SUM(H22:H24)</f>
        <v>377275</v>
      </c>
      <c r="J26" s="5" t="s">
        <v>6</v>
      </c>
      <c r="K26" s="78">
        <f>I26/(J3*1.732)</f>
        <v>1047.2414061112099</v>
      </c>
      <c r="L26" s="78" t="s">
        <v>188</v>
      </c>
    </row>
    <row r="27" spans="1:13">
      <c r="A27" s="33"/>
      <c r="G27" s="76"/>
      <c r="H27" s="77"/>
    </row>
    <row r="28" spans="1:13">
      <c r="A28" s="33"/>
      <c r="G28" s="76"/>
      <c r="H28" s="77"/>
    </row>
    <row r="29" spans="1:13" ht="16">
      <c r="A29" s="71" t="s">
        <v>166</v>
      </c>
      <c r="G29" s="5" t="s">
        <v>231</v>
      </c>
      <c r="H29" s="6" t="s">
        <v>219</v>
      </c>
      <c r="I29" s="78">
        <f>SUM(H8:H15)</f>
        <v>119364</v>
      </c>
      <c r="J29" s="5" t="s">
        <v>6</v>
      </c>
      <c r="K29" s="78">
        <f>I29/(J3*1.732)</f>
        <v>331.33105347308583</v>
      </c>
      <c r="L29" s="78"/>
      <c r="M29" s="5" t="s">
        <v>188</v>
      </c>
    </row>
    <row r="31" spans="1:13">
      <c r="G31" s="5" t="s">
        <v>229</v>
      </c>
      <c r="H31" s="6" t="s">
        <v>219</v>
      </c>
      <c r="I31" s="78">
        <f>SUM(H22:H24)</f>
        <v>377275</v>
      </c>
      <c r="J31" s="5" t="s">
        <v>6</v>
      </c>
      <c r="K31" s="78">
        <f>I31/(J3*1.732)</f>
        <v>1047.2414061112099</v>
      </c>
      <c r="L31" s="78"/>
      <c r="M31" s="5" t="s">
        <v>188</v>
      </c>
    </row>
    <row r="32" spans="1:13" ht="14">
      <c r="A32" s="73"/>
      <c r="D32" s="1"/>
    </row>
    <row r="33" spans="1:13">
      <c r="A33" s="33"/>
      <c r="B33" s="77"/>
      <c r="C33" s="76"/>
      <c r="D33" s="77"/>
      <c r="G33" s="75" t="s">
        <v>230</v>
      </c>
      <c r="H33" s="79" t="s">
        <v>219</v>
      </c>
      <c r="I33" s="80">
        <f>SUM(I29:I31)</f>
        <v>496639</v>
      </c>
      <c r="J33" s="75" t="s">
        <v>6</v>
      </c>
      <c r="K33" s="80">
        <f>I33/(J3*1.732)</f>
        <v>1378.5724595842958</v>
      </c>
      <c r="L33" s="80"/>
      <c r="M33" s="75" t="s">
        <v>188</v>
      </c>
    </row>
    <row r="34" spans="1:13">
      <c r="A34" s="33"/>
      <c r="B34" s="77"/>
      <c r="C34" s="76"/>
      <c r="D34" s="77"/>
    </row>
    <row r="35" spans="1:13" ht="16">
      <c r="A35" s="71"/>
      <c r="B35" s="77"/>
      <c r="C35" s="76"/>
      <c r="D35" s="77"/>
      <c r="H35" s="6" t="s">
        <v>236</v>
      </c>
      <c r="I35" s="5">
        <f>I1</f>
        <v>15091</v>
      </c>
      <c r="J35" s="5" t="s">
        <v>223</v>
      </c>
    </row>
    <row r="36" spans="1:13">
      <c r="D36" s="77"/>
      <c r="F36" s="77"/>
      <c r="H36" s="6" t="s">
        <v>224</v>
      </c>
      <c r="I36" s="22">
        <f>I33/I35</f>
        <v>32.909615002319264</v>
      </c>
      <c r="J36" s="5"/>
    </row>
    <row r="39" spans="1:13" ht="14">
      <c r="A39" s="72"/>
    </row>
    <row r="41" spans="1:13">
      <c r="B41" s="77"/>
    </row>
    <row r="42" spans="1:13">
      <c r="B42" s="77"/>
    </row>
    <row r="43" spans="1:13">
      <c r="A43" s="33"/>
      <c r="B43" s="19"/>
    </row>
    <row r="44" spans="1:13">
      <c r="B44" s="19"/>
      <c r="C44" s="5"/>
    </row>
    <row r="45" spans="1:13">
      <c r="B45" s="19"/>
      <c r="C45" s="19"/>
      <c r="D45" s="19"/>
    </row>
    <row r="46" spans="1:13">
      <c r="B46" s="19"/>
      <c r="C46" s="19"/>
      <c r="D46" s="19"/>
    </row>
    <row r="47" spans="1:13">
      <c r="B47" s="19"/>
      <c r="C47" s="19"/>
      <c r="D47" s="19"/>
    </row>
    <row r="49" spans="3:7">
      <c r="C49" s="5"/>
      <c r="D49" s="22"/>
      <c r="E49" s="6"/>
      <c r="F49" s="5"/>
      <c r="G49" s="5"/>
    </row>
    <row r="50" spans="3:7">
      <c r="D50" s="5"/>
      <c r="E50" s="5"/>
      <c r="F50" s="5"/>
      <c r="G50" s="5"/>
    </row>
    <row r="51" spans="3:7">
      <c r="C51" s="5"/>
      <c r="D51" s="5"/>
      <c r="E51" s="5"/>
      <c r="F51" s="22"/>
      <c r="G51" s="5"/>
    </row>
  </sheetData>
  <phoneticPr fontId="18" type="noConversion"/>
  <pageMargins left="0.75" right="0.75" top="1" bottom="1" header="0.5" footer="0.5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5"/>
  <sheetViews>
    <sheetView workbookViewId="0">
      <selection activeCell="A2" sqref="A2"/>
    </sheetView>
  </sheetViews>
  <sheetFormatPr baseColWidth="10" defaultColWidth="8.83203125" defaultRowHeight="13"/>
  <cols>
    <col min="1" max="1" width="24.83203125" customWidth="1"/>
    <col min="4" max="4" width="11.33203125" customWidth="1"/>
    <col min="7" max="7" width="23.5" customWidth="1"/>
  </cols>
  <sheetData>
    <row r="1" spans="1:8">
      <c r="A1" s="5" t="s">
        <v>296</v>
      </c>
    </row>
    <row r="2" spans="1:8">
      <c r="A2" s="51" t="s">
        <v>143</v>
      </c>
      <c r="B2" s="52">
        <f>SUM(B3:B6)</f>
        <v>1</v>
      </c>
      <c r="C2" s="52"/>
      <c r="D2" s="52"/>
      <c r="E2" s="53" t="s">
        <v>144</v>
      </c>
      <c r="F2" s="52"/>
      <c r="G2" s="52"/>
      <c r="H2" s="52"/>
    </row>
    <row r="3" spans="1:8">
      <c r="A3" s="54" t="s">
        <v>172</v>
      </c>
      <c r="B3" s="51">
        <v>1</v>
      </c>
      <c r="C3" s="51">
        <v>3500</v>
      </c>
      <c r="D3" s="52">
        <f>B3*C3</f>
        <v>3500</v>
      </c>
      <c r="E3" s="55"/>
      <c r="F3" s="52"/>
      <c r="G3" s="52"/>
      <c r="H3" s="52"/>
    </row>
    <row r="4" spans="1:8">
      <c r="A4" s="54" t="s">
        <v>173</v>
      </c>
      <c r="B4" s="51">
        <v>0</v>
      </c>
      <c r="C4" s="51">
        <v>0</v>
      </c>
      <c r="D4" s="52">
        <f>B4*C4</f>
        <v>0</v>
      </c>
      <c r="E4" s="55"/>
      <c r="F4" s="52"/>
      <c r="G4" s="52"/>
      <c r="H4" s="52"/>
    </row>
    <row r="5" spans="1:8">
      <c r="A5" s="54" t="s">
        <v>174</v>
      </c>
      <c r="B5" s="51">
        <v>0</v>
      </c>
      <c r="C5" s="51">
        <v>0</v>
      </c>
      <c r="D5" s="52">
        <f>B5*C5</f>
        <v>0</v>
      </c>
      <c r="E5" s="55"/>
      <c r="F5" s="52"/>
      <c r="G5" s="52"/>
      <c r="H5" s="52"/>
    </row>
    <row r="6" spans="1:8">
      <c r="A6" s="54" t="s">
        <v>175</v>
      </c>
      <c r="B6" s="51">
        <v>0</v>
      </c>
      <c r="C6" s="51">
        <v>0</v>
      </c>
      <c r="D6" s="52">
        <f>B6*C6</f>
        <v>0</v>
      </c>
      <c r="E6" s="55"/>
      <c r="F6" s="52"/>
      <c r="G6" s="52"/>
      <c r="H6" s="52"/>
    </row>
    <row r="7" spans="1:8">
      <c r="A7" s="54" t="s">
        <v>99</v>
      </c>
      <c r="B7" s="52"/>
      <c r="C7" s="52"/>
      <c r="D7" s="52">
        <f>SUM(D3:D6)</f>
        <v>3500</v>
      </c>
      <c r="E7" s="52"/>
      <c r="F7" s="52"/>
      <c r="G7" s="52"/>
      <c r="H7" s="52"/>
    </row>
    <row r="8" spans="1:8" ht="14">
      <c r="A8" s="52"/>
      <c r="B8" s="56" t="s">
        <v>145</v>
      </c>
      <c r="C8" s="56" t="s">
        <v>146</v>
      </c>
      <c r="D8" s="56" t="s">
        <v>147</v>
      </c>
      <c r="E8" s="56" t="s">
        <v>146</v>
      </c>
      <c r="F8" s="56" t="s">
        <v>148</v>
      </c>
      <c r="G8" s="56" t="s">
        <v>149</v>
      </c>
      <c r="H8" s="56" t="s">
        <v>150</v>
      </c>
    </row>
    <row r="9" spans="1:8">
      <c r="A9" s="52"/>
      <c r="B9" s="52"/>
      <c r="C9" s="52"/>
      <c r="D9" s="52"/>
      <c r="E9" s="52"/>
      <c r="F9" s="52"/>
      <c r="G9" s="52"/>
      <c r="H9" s="52"/>
    </row>
    <row r="10" spans="1:8">
      <c r="A10" s="52" t="s">
        <v>151</v>
      </c>
      <c r="B10" s="52">
        <v>3</v>
      </c>
      <c r="C10" s="52" t="s">
        <v>152</v>
      </c>
      <c r="D10" s="52">
        <f>D7</f>
        <v>3500</v>
      </c>
      <c r="E10" s="52" t="s">
        <v>153</v>
      </c>
      <c r="F10" s="52">
        <f>B10*D10</f>
        <v>10500</v>
      </c>
      <c r="G10" s="57">
        <v>1</v>
      </c>
      <c r="H10" s="58">
        <f>F10*G10</f>
        <v>10500</v>
      </c>
    </row>
    <row r="11" spans="1:8">
      <c r="A11" s="52" t="s">
        <v>154</v>
      </c>
      <c r="B11" s="52">
        <v>1500</v>
      </c>
      <c r="C11" s="52" t="s">
        <v>6</v>
      </c>
      <c r="D11" s="52">
        <f>B2*2</f>
        <v>2</v>
      </c>
      <c r="E11" s="52" t="s">
        <v>155</v>
      </c>
      <c r="F11" s="52">
        <f t="shared" ref="F11:F21" si="0">D11*B11</f>
        <v>3000</v>
      </c>
      <c r="G11" s="57">
        <v>1</v>
      </c>
      <c r="H11" s="58">
        <f t="shared" ref="H11:H24" si="1">F11*G11</f>
        <v>3000</v>
      </c>
    </row>
    <row r="12" spans="1:8">
      <c r="A12" s="52" t="s">
        <v>156</v>
      </c>
      <c r="B12" s="52">
        <v>1500</v>
      </c>
      <c r="C12" s="52" t="s">
        <v>6</v>
      </c>
      <c r="D12" s="52">
        <f>B2</f>
        <v>1</v>
      </c>
      <c r="E12" s="52" t="s">
        <v>155</v>
      </c>
      <c r="F12" s="52">
        <f t="shared" si="0"/>
        <v>1500</v>
      </c>
      <c r="G12" s="57">
        <v>1</v>
      </c>
      <c r="H12" s="58">
        <f t="shared" si="1"/>
        <v>1500</v>
      </c>
    </row>
    <row r="13" spans="1:8">
      <c r="A13" s="52" t="s">
        <v>157</v>
      </c>
      <c r="B13" s="52">
        <v>8000</v>
      </c>
      <c r="C13" s="52" t="s">
        <v>6</v>
      </c>
      <c r="D13" s="52">
        <f>B2</f>
        <v>1</v>
      </c>
      <c r="E13" s="52" t="s">
        <v>155</v>
      </c>
      <c r="F13" s="52">
        <f t="shared" si="0"/>
        <v>8000</v>
      </c>
      <c r="G13" s="57">
        <v>1</v>
      </c>
      <c r="H13" s="58">
        <f t="shared" si="1"/>
        <v>8000</v>
      </c>
    </row>
    <row r="14" spans="1:8">
      <c r="A14" s="52" t="s">
        <v>158</v>
      </c>
      <c r="B14" s="52">
        <v>5000</v>
      </c>
      <c r="C14" s="52" t="s">
        <v>6</v>
      </c>
      <c r="D14" s="54">
        <f>B2</f>
        <v>1</v>
      </c>
      <c r="E14" s="52" t="s">
        <v>155</v>
      </c>
      <c r="F14" s="52">
        <f t="shared" si="0"/>
        <v>5000</v>
      </c>
      <c r="G14" s="57">
        <v>1</v>
      </c>
      <c r="H14" s="58">
        <f t="shared" si="1"/>
        <v>5000</v>
      </c>
    </row>
    <row r="15" spans="1:8">
      <c r="A15" s="52" t="s">
        <v>159</v>
      </c>
      <c r="B15" s="52">
        <v>1200</v>
      </c>
      <c r="C15" s="52" t="s">
        <v>6</v>
      </c>
      <c r="D15" s="54">
        <f>B2</f>
        <v>1</v>
      </c>
      <c r="E15" s="52" t="s">
        <v>155</v>
      </c>
      <c r="F15" s="52">
        <f t="shared" si="0"/>
        <v>1200</v>
      </c>
      <c r="G15" s="57">
        <v>1</v>
      </c>
      <c r="H15" s="58">
        <f t="shared" si="1"/>
        <v>1200</v>
      </c>
    </row>
    <row r="16" spans="1:8">
      <c r="A16" s="52" t="s">
        <v>160</v>
      </c>
      <c r="B16" s="52">
        <v>1200</v>
      </c>
      <c r="C16" s="52" t="s">
        <v>6</v>
      </c>
      <c r="D16" s="52">
        <f>B2</f>
        <v>1</v>
      </c>
      <c r="E16" s="52" t="s">
        <v>155</v>
      </c>
      <c r="F16" s="52">
        <f>D16*B16</f>
        <v>1200</v>
      </c>
      <c r="G16" s="57">
        <v>1</v>
      </c>
      <c r="H16" s="58">
        <f>F16*G16</f>
        <v>1200</v>
      </c>
    </row>
    <row r="17" spans="1:8">
      <c r="A17" s="52" t="s">
        <v>161</v>
      </c>
      <c r="B17" s="52">
        <v>950</v>
      </c>
      <c r="C17" s="52" t="s">
        <v>6</v>
      </c>
      <c r="D17" s="52">
        <f>B2</f>
        <v>1</v>
      </c>
      <c r="E17" s="52" t="s">
        <v>155</v>
      </c>
      <c r="F17" s="52">
        <f t="shared" si="0"/>
        <v>950</v>
      </c>
      <c r="G17" s="57">
        <v>1</v>
      </c>
      <c r="H17" s="58">
        <f>F17*G17</f>
        <v>950</v>
      </c>
    </row>
    <row r="18" spans="1:8">
      <c r="A18" s="52" t="s">
        <v>162</v>
      </c>
      <c r="B18" s="52">
        <v>1200</v>
      </c>
      <c r="C18" s="52" t="s">
        <v>6</v>
      </c>
      <c r="D18" s="52">
        <f>B2</f>
        <v>1</v>
      </c>
      <c r="E18" s="52" t="s">
        <v>155</v>
      </c>
      <c r="F18" s="52">
        <f t="shared" si="0"/>
        <v>1200</v>
      </c>
      <c r="G18" s="57">
        <v>1</v>
      </c>
      <c r="H18" s="58">
        <f t="shared" si="1"/>
        <v>1200</v>
      </c>
    </row>
    <row r="19" spans="1:8">
      <c r="A19" s="95" t="s">
        <v>295</v>
      </c>
      <c r="B19" s="52">
        <v>0</v>
      </c>
      <c r="C19" s="52" t="s">
        <v>6</v>
      </c>
      <c r="D19" s="95">
        <v>0</v>
      </c>
      <c r="E19" s="52" t="s">
        <v>155</v>
      </c>
      <c r="F19" s="52">
        <f t="shared" si="0"/>
        <v>0</v>
      </c>
      <c r="G19" s="57">
        <v>1</v>
      </c>
      <c r="H19" s="58">
        <f t="shared" si="1"/>
        <v>0</v>
      </c>
    </row>
    <row r="20" spans="1:8">
      <c r="A20" s="95" t="s">
        <v>295</v>
      </c>
      <c r="B20" s="52">
        <v>0</v>
      </c>
      <c r="C20" s="52" t="s">
        <v>6</v>
      </c>
      <c r="D20" s="95">
        <v>0</v>
      </c>
      <c r="E20" s="52" t="s">
        <v>155</v>
      </c>
      <c r="F20" s="52">
        <f t="shared" si="0"/>
        <v>0</v>
      </c>
      <c r="G20" s="57">
        <v>1</v>
      </c>
      <c r="H20" s="58">
        <f t="shared" si="1"/>
        <v>0</v>
      </c>
    </row>
    <row r="21" spans="1:8">
      <c r="A21" s="52" t="s">
        <v>163</v>
      </c>
      <c r="B21" s="52">
        <v>4500</v>
      </c>
      <c r="C21" s="52" t="s">
        <v>6</v>
      </c>
      <c r="D21" s="95">
        <v>2</v>
      </c>
      <c r="E21" s="52" t="s">
        <v>155</v>
      </c>
      <c r="F21" s="52">
        <f t="shared" si="0"/>
        <v>9000</v>
      </c>
      <c r="G21" s="57">
        <v>1</v>
      </c>
      <c r="H21" s="58">
        <f t="shared" si="1"/>
        <v>9000</v>
      </c>
    </row>
    <row r="22" spans="1:8">
      <c r="A22" s="52"/>
      <c r="B22" s="52"/>
      <c r="C22" s="52"/>
      <c r="D22" s="52"/>
      <c r="E22" s="52"/>
      <c r="F22" s="52"/>
      <c r="G22" s="59" t="s">
        <v>164</v>
      </c>
      <c r="H22" s="58">
        <f>SUM(H10:H21)</f>
        <v>41550</v>
      </c>
    </row>
    <row r="23" spans="1:8">
      <c r="A23" s="52"/>
      <c r="B23" s="52"/>
      <c r="C23" s="52"/>
      <c r="D23" s="52"/>
      <c r="E23" s="52"/>
      <c r="F23" s="52"/>
      <c r="G23" s="57"/>
      <c r="H23" s="58"/>
    </row>
    <row r="24" spans="1:8">
      <c r="A24" s="52" t="s">
        <v>226</v>
      </c>
      <c r="B24" s="51">
        <v>15500</v>
      </c>
      <c r="C24" s="52" t="s">
        <v>152</v>
      </c>
      <c r="D24" s="52">
        <v>1</v>
      </c>
      <c r="E24" s="52" t="s">
        <v>153</v>
      </c>
      <c r="F24" s="52">
        <f>B24*D24</f>
        <v>15500</v>
      </c>
      <c r="G24" s="57">
        <v>1</v>
      </c>
      <c r="H24" s="58">
        <f t="shared" si="1"/>
        <v>15500</v>
      </c>
    </row>
    <row r="25" spans="1:8">
      <c r="A25" s="52"/>
      <c r="B25" s="52"/>
      <c r="C25" s="52"/>
      <c r="D25" s="52"/>
      <c r="E25" s="52"/>
      <c r="F25" s="52"/>
      <c r="G25" s="52"/>
      <c r="H25" s="57"/>
    </row>
    <row r="26" spans="1:8" ht="14">
      <c r="A26" s="56"/>
      <c r="B26" s="52"/>
      <c r="C26" s="52"/>
      <c r="D26" s="52"/>
      <c r="E26" s="52"/>
      <c r="F26" s="52"/>
      <c r="G26" s="52"/>
      <c r="H26" s="52"/>
    </row>
    <row r="27" spans="1:8" ht="16">
      <c r="A27" s="60" t="s">
        <v>166</v>
      </c>
      <c r="B27" s="58"/>
      <c r="C27" s="57"/>
      <c r="D27" s="58"/>
      <c r="E27" s="52"/>
      <c r="F27" s="52"/>
      <c r="G27" s="52"/>
      <c r="H27" s="61"/>
    </row>
    <row r="28" spans="1:8" ht="16">
      <c r="A28" s="60"/>
      <c r="B28" s="58"/>
      <c r="C28" s="57"/>
      <c r="D28" s="58"/>
      <c r="E28" s="52"/>
      <c r="F28" s="52"/>
      <c r="G28" s="52" t="s">
        <v>294</v>
      </c>
      <c r="H28" s="61">
        <v>8000</v>
      </c>
    </row>
    <row r="29" spans="1:8" ht="16">
      <c r="A29" s="60"/>
      <c r="B29" s="58"/>
      <c r="C29" s="57"/>
      <c r="D29" s="58"/>
      <c r="E29" s="52"/>
      <c r="F29" s="52"/>
      <c r="G29" s="52" t="s">
        <v>168</v>
      </c>
      <c r="H29" s="61">
        <f>(H22-8000)*0.4</f>
        <v>13420</v>
      </c>
    </row>
    <row r="30" spans="1:8" ht="16">
      <c r="A30" s="60"/>
      <c r="B30" s="58"/>
      <c r="C30" s="57"/>
      <c r="D30" s="58"/>
      <c r="E30" s="52"/>
      <c r="F30" s="52"/>
      <c r="G30" s="52" t="s">
        <v>169</v>
      </c>
      <c r="H30" s="61">
        <f>H24</f>
        <v>15500</v>
      </c>
    </row>
    <row r="31" spans="1:8" ht="16">
      <c r="A31" s="60"/>
      <c r="B31" s="58"/>
      <c r="C31" s="57"/>
      <c r="D31" s="58"/>
      <c r="E31" s="52"/>
      <c r="F31" s="52"/>
      <c r="G31" s="52" t="s">
        <v>170</v>
      </c>
      <c r="H31" s="61">
        <f>SUM(H28:H30)</f>
        <v>36920</v>
      </c>
    </row>
    <row r="32" spans="1:8">
      <c r="A32" s="52"/>
      <c r="B32" s="58"/>
      <c r="C32" s="57"/>
      <c r="D32" s="58"/>
      <c r="E32" s="52"/>
      <c r="F32" s="52"/>
      <c r="G32" s="52" t="s">
        <v>176</v>
      </c>
      <c r="H32" s="58">
        <f>H31/240</f>
        <v>153.83333333333334</v>
      </c>
    </row>
    <row r="33" spans="1:8" ht="16">
      <c r="A33" s="60"/>
      <c r="B33" s="58"/>
      <c r="C33" s="57"/>
      <c r="D33" s="58"/>
      <c r="E33" s="52"/>
      <c r="F33" s="52"/>
      <c r="G33" s="52"/>
      <c r="H33" s="58"/>
    </row>
    <row r="34" spans="1:8">
      <c r="A34" s="52"/>
      <c r="B34" s="52"/>
      <c r="C34" s="52"/>
      <c r="D34" s="58"/>
      <c r="E34" s="52"/>
      <c r="F34" s="58"/>
      <c r="G34" s="52" t="s">
        <v>171</v>
      </c>
      <c r="H34" s="52">
        <f>D7</f>
        <v>3500</v>
      </c>
    </row>
    <row r="35" spans="1:8">
      <c r="A35" s="52"/>
      <c r="B35" s="52"/>
      <c r="C35" s="52"/>
      <c r="D35" s="52"/>
      <c r="E35" s="52"/>
      <c r="F35" s="52"/>
      <c r="G35" s="52" t="s">
        <v>152</v>
      </c>
      <c r="H35" s="58">
        <f>H31/H34</f>
        <v>10.548571428571428</v>
      </c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5"/>
  <sheetViews>
    <sheetView workbookViewId="0">
      <selection activeCell="D22" sqref="D22"/>
    </sheetView>
  </sheetViews>
  <sheetFormatPr baseColWidth="10" defaultColWidth="8.83203125" defaultRowHeight="13"/>
  <cols>
    <col min="1" max="1" width="24.83203125" customWidth="1"/>
    <col min="4" max="4" width="11.33203125" customWidth="1"/>
    <col min="7" max="7" width="21.6640625" customWidth="1"/>
  </cols>
  <sheetData>
    <row r="1" spans="1:8">
      <c r="A1" s="5" t="s">
        <v>199</v>
      </c>
    </row>
    <row r="2" spans="1:8">
      <c r="A2" s="51" t="s">
        <v>143</v>
      </c>
      <c r="B2" s="52">
        <f>SUM(B3:B6)</f>
        <v>1</v>
      </c>
      <c r="C2" s="52"/>
      <c r="D2" s="52"/>
      <c r="E2" s="53" t="s">
        <v>144</v>
      </c>
      <c r="F2" s="52"/>
      <c r="G2" s="52"/>
      <c r="H2" s="52"/>
    </row>
    <row r="3" spans="1:8">
      <c r="A3" s="54" t="s">
        <v>172</v>
      </c>
      <c r="B3" s="51">
        <v>1</v>
      </c>
      <c r="C3" s="51">
        <v>3500</v>
      </c>
      <c r="D3" s="52">
        <f>B3*C3</f>
        <v>3500</v>
      </c>
      <c r="E3" s="55"/>
      <c r="F3" s="52"/>
      <c r="G3" s="52"/>
      <c r="H3" s="52"/>
    </row>
    <row r="4" spans="1:8">
      <c r="A4" s="54" t="s">
        <v>173</v>
      </c>
      <c r="B4" s="51">
        <v>0</v>
      </c>
      <c r="C4" s="51">
        <v>0</v>
      </c>
      <c r="D4" s="52">
        <f>B4*C4</f>
        <v>0</v>
      </c>
      <c r="E4" s="55"/>
      <c r="F4" s="52"/>
      <c r="G4" s="52"/>
      <c r="H4" s="52"/>
    </row>
    <row r="5" spans="1:8">
      <c r="A5" s="54" t="s">
        <v>174</v>
      </c>
      <c r="B5" s="51">
        <v>0</v>
      </c>
      <c r="C5" s="51">
        <v>0</v>
      </c>
      <c r="D5" s="52">
        <f>B5*C5</f>
        <v>0</v>
      </c>
      <c r="E5" s="55"/>
      <c r="F5" s="52"/>
      <c r="G5" s="52"/>
      <c r="H5" s="52"/>
    </row>
    <row r="6" spans="1:8">
      <c r="A6" s="54" t="s">
        <v>175</v>
      </c>
      <c r="B6" s="51">
        <v>0</v>
      </c>
      <c r="C6" s="51">
        <v>0</v>
      </c>
      <c r="D6" s="52">
        <f>B6*C6</f>
        <v>0</v>
      </c>
      <c r="E6" s="55"/>
      <c r="F6" s="52"/>
      <c r="G6" s="52"/>
      <c r="H6" s="52"/>
    </row>
    <row r="7" spans="1:8">
      <c r="A7" s="54" t="s">
        <v>99</v>
      </c>
      <c r="B7" s="52"/>
      <c r="C7" s="52"/>
      <c r="D7" s="52">
        <f>SUM(D3:D6)</f>
        <v>3500</v>
      </c>
      <c r="E7" s="52"/>
      <c r="F7" s="52"/>
      <c r="G7" s="52"/>
      <c r="H7" s="52"/>
    </row>
    <row r="8" spans="1:8" ht="14">
      <c r="A8" s="52"/>
      <c r="B8" s="56" t="s">
        <v>145</v>
      </c>
      <c r="C8" s="56" t="s">
        <v>146</v>
      </c>
      <c r="D8" s="56" t="s">
        <v>147</v>
      </c>
      <c r="E8" s="56" t="s">
        <v>146</v>
      </c>
      <c r="F8" s="56" t="s">
        <v>148</v>
      </c>
      <c r="G8" s="56" t="s">
        <v>149</v>
      </c>
      <c r="H8" s="56" t="s">
        <v>150</v>
      </c>
    </row>
    <row r="9" spans="1:8">
      <c r="A9" s="52"/>
      <c r="B9" s="52"/>
      <c r="C9" s="52"/>
      <c r="D9" s="52"/>
      <c r="E9" s="52"/>
      <c r="F9" s="52"/>
      <c r="G9" s="52"/>
      <c r="H9" s="52"/>
    </row>
    <row r="10" spans="1:8">
      <c r="A10" s="52" t="s">
        <v>151</v>
      </c>
      <c r="B10" s="52">
        <v>3</v>
      </c>
      <c r="C10" s="52" t="s">
        <v>152</v>
      </c>
      <c r="D10" s="52">
        <f>D7</f>
        <v>3500</v>
      </c>
      <c r="E10" s="52" t="s">
        <v>153</v>
      </c>
      <c r="F10" s="52">
        <f>B10*D10</f>
        <v>10500</v>
      </c>
      <c r="G10" s="57">
        <v>1</v>
      </c>
      <c r="H10" s="58">
        <f>F10*G10</f>
        <v>10500</v>
      </c>
    </row>
    <row r="11" spans="1:8">
      <c r="A11" s="52" t="s">
        <v>154</v>
      </c>
      <c r="B11" s="52">
        <v>1500</v>
      </c>
      <c r="C11" s="52" t="s">
        <v>6</v>
      </c>
      <c r="D11" s="52">
        <f>B2*2</f>
        <v>2</v>
      </c>
      <c r="E11" s="52" t="s">
        <v>155</v>
      </c>
      <c r="F11" s="52">
        <f t="shared" ref="F11:F21" si="0">D11*B11</f>
        <v>3000</v>
      </c>
      <c r="G11" s="57">
        <v>1</v>
      </c>
      <c r="H11" s="58">
        <f t="shared" ref="H11:H24" si="1">F11*G11</f>
        <v>3000</v>
      </c>
    </row>
    <row r="12" spans="1:8">
      <c r="A12" s="52" t="s">
        <v>156</v>
      </c>
      <c r="B12" s="52">
        <v>1500</v>
      </c>
      <c r="C12" s="52" t="s">
        <v>6</v>
      </c>
      <c r="D12" s="52">
        <f>B2</f>
        <v>1</v>
      </c>
      <c r="E12" s="52" t="s">
        <v>155</v>
      </c>
      <c r="F12" s="52">
        <f t="shared" si="0"/>
        <v>1500</v>
      </c>
      <c r="G12" s="57">
        <v>1</v>
      </c>
      <c r="H12" s="58">
        <f t="shared" si="1"/>
        <v>1500</v>
      </c>
    </row>
    <row r="13" spans="1:8">
      <c r="A13" s="52" t="s">
        <v>157</v>
      </c>
      <c r="B13" s="52">
        <v>8000</v>
      </c>
      <c r="C13" s="52" t="s">
        <v>6</v>
      </c>
      <c r="D13" s="52">
        <f>B2</f>
        <v>1</v>
      </c>
      <c r="E13" s="52" t="s">
        <v>155</v>
      </c>
      <c r="F13" s="52">
        <f t="shared" si="0"/>
        <v>8000</v>
      </c>
      <c r="G13" s="57">
        <v>1</v>
      </c>
      <c r="H13" s="58">
        <f t="shared" si="1"/>
        <v>8000</v>
      </c>
    </row>
    <row r="14" spans="1:8">
      <c r="A14" s="52" t="s">
        <v>158</v>
      </c>
      <c r="B14" s="52">
        <v>5000</v>
      </c>
      <c r="C14" s="52" t="s">
        <v>6</v>
      </c>
      <c r="D14" s="54">
        <f>B2</f>
        <v>1</v>
      </c>
      <c r="E14" s="52" t="s">
        <v>155</v>
      </c>
      <c r="F14" s="52">
        <f t="shared" si="0"/>
        <v>5000</v>
      </c>
      <c r="G14" s="57">
        <v>1</v>
      </c>
      <c r="H14" s="58">
        <f t="shared" si="1"/>
        <v>5000</v>
      </c>
    </row>
    <row r="15" spans="1:8">
      <c r="A15" s="52" t="s">
        <v>159</v>
      </c>
      <c r="B15" s="52">
        <v>1200</v>
      </c>
      <c r="C15" s="52" t="s">
        <v>6</v>
      </c>
      <c r="D15" s="54">
        <f>B2</f>
        <v>1</v>
      </c>
      <c r="E15" s="52" t="s">
        <v>155</v>
      </c>
      <c r="F15" s="52">
        <f t="shared" si="0"/>
        <v>1200</v>
      </c>
      <c r="G15" s="57">
        <v>1</v>
      </c>
      <c r="H15" s="58">
        <f t="shared" si="1"/>
        <v>1200</v>
      </c>
    </row>
    <row r="16" spans="1:8">
      <c r="A16" s="52" t="s">
        <v>160</v>
      </c>
      <c r="B16" s="52">
        <v>1200</v>
      </c>
      <c r="C16" s="52" t="s">
        <v>6</v>
      </c>
      <c r="D16" s="52">
        <f>B2</f>
        <v>1</v>
      </c>
      <c r="E16" s="52" t="s">
        <v>155</v>
      </c>
      <c r="F16" s="52">
        <f>D16*B16</f>
        <v>1200</v>
      </c>
      <c r="G16" s="57">
        <v>1</v>
      </c>
      <c r="H16" s="58">
        <f>F16*G16</f>
        <v>1200</v>
      </c>
    </row>
    <row r="17" spans="1:8">
      <c r="A17" s="52" t="s">
        <v>161</v>
      </c>
      <c r="B17" s="52">
        <v>950</v>
      </c>
      <c r="C17" s="52" t="s">
        <v>6</v>
      </c>
      <c r="D17" s="52">
        <f>B2</f>
        <v>1</v>
      </c>
      <c r="E17" s="52" t="s">
        <v>155</v>
      </c>
      <c r="F17" s="52">
        <f t="shared" si="0"/>
        <v>950</v>
      </c>
      <c r="G17" s="57">
        <v>1</v>
      </c>
      <c r="H17" s="58">
        <f>F17*G17</f>
        <v>950</v>
      </c>
    </row>
    <row r="18" spans="1:8">
      <c r="A18" s="52" t="s">
        <v>162</v>
      </c>
      <c r="B18" s="52">
        <v>1200</v>
      </c>
      <c r="C18" s="52" t="s">
        <v>6</v>
      </c>
      <c r="D18" s="52">
        <f>B2</f>
        <v>1</v>
      </c>
      <c r="E18" s="52" t="s">
        <v>155</v>
      </c>
      <c r="F18" s="52">
        <f t="shared" si="0"/>
        <v>1200</v>
      </c>
      <c r="G18" s="57">
        <v>1</v>
      </c>
      <c r="H18" s="58">
        <f t="shared" si="1"/>
        <v>1200</v>
      </c>
    </row>
    <row r="19" spans="1:8">
      <c r="A19" s="95" t="s">
        <v>295</v>
      </c>
      <c r="B19" s="52">
        <v>0</v>
      </c>
      <c r="C19" s="52" t="s">
        <v>6</v>
      </c>
      <c r="D19" s="95">
        <v>0</v>
      </c>
      <c r="E19" s="52" t="s">
        <v>155</v>
      </c>
      <c r="F19" s="52">
        <f t="shared" si="0"/>
        <v>0</v>
      </c>
      <c r="G19" s="57">
        <v>1</v>
      </c>
      <c r="H19" s="58">
        <f t="shared" si="1"/>
        <v>0</v>
      </c>
    </row>
    <row r="20" spans="1:8">
      <c r="A20" s="95" t="s">
        <v>295</v>
      </c>
      <c r="B20" s="52">
        <v>0</v>
      </c>
      <c r="C20" s="52" t="s">
        <v>6</v>
      </c>
      <c r="D20" s="95">
        <v>0</v>
      </c>
      <c r="E20" s="52" t="s">
        <v>155</v>
      </c>
      <c r="F20" s="52">
        <f t="shared" si="0"/>
        <v>0</v>
      </c>
      <c r="G20" s="57">
        <v>1</v>
      </c>
      <c r="H20" s="58">
        <f t="shared" si="1"/>
        <v>0</v>
      </c>
    </row>
    <row r="21" spans="1:8">
      <c r="A21" s="52" t="s">
        <v>163</v>
      </c>
      <c r="B21" s="52">
        <v>4500</v>
      </c>
      <c r="C21" s="52" t="s">
        <v>6</v>
      </c>
      <c r="D21" s="95">
        <v>2</v>
      </c>
      <c r="E21" s="52" t="s">
        <v>155</v>
      </c>
      <c r="F21" s="52">
        <f t="shared" si="0"/>
        <v>9000</v>
      </c>
      <c r="G21" s="57">
        <v>1</v>
      </c>
      <c r="H21" s="58">
        <f t="shared" si="1"/>
        <v>9000</v>
      </c>
    </row>
    <row r="22" spans="1:8">
      <c r="A22" s="52"/>
      <c r="B22" s="52"/>
      <c r="C22" s="52"/>
      <c r="D22" s="52"/>
      <c r="E22" s="52"/>
      <c r="F22" s="52"/>
      <c r="G22" s="59" t="s">
        <v>164</v>
      </c>
      <c r="H22" s="58">
        <f>SUM(H10:H21)</f>
        <v>41550</v>
      </c>
    </row>
    <row r="23" spans="1:8">
      <c r="A23" s="52"/>
      <c r="B23" s="52"/>
      <c r="C23" s="52"/>
      <c r="D23" s="52"/>
      <c r="E23" s="52"/>
      <c r="F23" s="52"/>
      <c r="G23" s="57"/>
      <c r="H23" s="58"/>
    </row>
    <row r="24" spans="1:8">
      <c r="A24" s="95" t="s">
        <v>226</v>
      </c>
      <c r="B24" s="51">
        <v>15500</v>
      </c>
      <c r="C24" s="52" t="s">
        <v>152</v>
      </c>
      <c r="D24" s="52">
        <v>1</v>
      </c>
      <c r="E24" s="52" t="s">
        <v>153</v>
      </c>
      <c r="F24" s="52">
        <f>B24*D24</f>
        <v>15500</v>
      </c>
      <c r="G24" s="57">
        <v>1</v>
      </c>
      <c r="H24" s="58">
        <f t="shared" si="1"/>
        <v>15500</v>
      </c>
    </row>
    <row r="25" spans="1:8">
      <c r="A25" s="52"/>
      <c r="B25" s="52"/>
      <c r="C25" s="52"/>
      <c r="D25" s="52"/>
      <c r="E25" s="52"/>
      <c r="F25" s="52"/>
      <c r="G25" s="52"/>
      <c r="H25" s="57"/>
    </row>
    <row r="26" spans="1:8" ht="14">
      <c r="A26" s="56"/>
      <c r="B26" s="52"/>
      <c r="C26" s="52"/>
      <c r="D26" s="52"/>
      <c r="E26" s="52"/>
      <c r="F26" s="52"/>
      <c r="G26" s="52"/>
      <c r="H26" s="52"/>
    </row>
    <row r="27" spans="1:8" ht="16">
      <c r="A27" s="60" t="s">
        <v>166</v>
      </c>
      <c r="B27" s="58"/>
      <c r="C27" s="57"/>
      <c r="D27" s="58"/>
      <c r="E27" s="52"/>
      <c r="F27" s="52"/>
      <c r="G27" s="52"/>
      <c r="H27" s="61"/>
    </row>
    <row r="28" spans="1:8" ht="16">
      <c r="A28" s="60"/>
      <c r="B28" s="58"/>
      <c r="C28" s="57"/>
      <c r="D28" s="58"/>
      <c r="E28" s="52"/>
      <c r="F28" s="52"/>
      <c r="G28" s="52" t="s">
        <v>167</v>
      </c>
      <c r="H28" s="61">
        <v>10000</v>
      </c>
    </row>
    <row r="29" spans="1:8" ht="16">
      <c r="A29" s="60"/>
      <c r="B29" s="58"/>
      <c r="C29" s="57"/>
      <c r="D29" s="58"/>
      <c r="E29" s="52"/>
      <c r="F29" s="52"/>
      <c r="G29" s="52" t="s">
        <v>168</v>
      </c>
      <c r="H29" s="61">
        <f>(H22-10000)*0.4</f>
        <v>12620</v>
      </c>
    </row>
    <row r="30" spans="1:8" ht="16">
      <c r="A30" s="60"/>
      <c r="B30" s="58"/>
      <c r="C30" s="57"/>
      <c r="D30" s="58"/>
      <c r="E30" s="52"/>
      <c r="F30" s="52"/>
      <c r="G30" s="52" t="s">
        <v>169</v>
      </c>
      <c r="H30" s="61">
        <f>H24</f>
        <v>15500</v>
      </c>
    </row>
    <row r="31" spans="1:8" ht="16">
      <c r="A31" s="60"/>
      <c r="B31" s="58"/>
      <c r="C31" s="57"/>
      <c r="D31" s="58"/>
      <c r="E31" s="52"/>
      <c r="F31" s="52"/>
      <c r="G31" s="52" t="s">
        <v>170</v>
      </c>
      <c r="H31" s="61">
        <f>SUM(H28:H30)</f>
        <v>38120</v>
      </c>
    </row>
    <row r="32" spans="1:8">
      <c r="A32" s="52"/>
      <c r="B32" s="58"/>
      <c r="C32" s="57"/>
      <c r="D32" s="58"/>
      <c r="E32" s="52"/>
      <c r="F32" s="52"/>
      <c r="G32" s="52" t="s">
        <v>176</v>
      </c>
      <c r="H32" s="58">
        <f>H31/240</f>
        <v>158.83333333333334</v>
      </c>
    </row>
    <row r="33" spans="1:8" ht="16">
      <c r="A33" s="60"/>
      <c r="B33" s="58"/>
      <c r="C33" s="57"/>
      <c r="D33" s="58"/>
      <c r="E33" s="52"/>
      <c r="F33" s="52"/>
      <c r="G33" s="52"/>
      <c r="H33" s="58"/>
    </row>
    <row r="34" spans="1:8">
      <c r="A34" s="52"/>
      <c r="B34" s="52"/>
      <c r="C34" s="52"/>
      <c r="D34" s="58"/>
      <c r="E34" s="52"/>
      <c r="F34" s="58"/>
      <c r="G34" s="52" t="s">
        <v>171</v>
      </c>
      <c r="H34" s="52">
        <f>D7</f>
        <v>3500</v>
      </c>
    </row>
    <row r="35" spans="1:8">
      <c r="A35" s="52"/>
      <c r="B35" s="52"/>
      <c r="C35" s="52"/>
      <c r="D35" s="52"/>
      <c r="E35" s="52"/>
      <c r="F35" s="52"/>
      <c r="G35" s="52" t="s">
        <v>152</v>
      </c>
      <c r="H35" s="58">
        <f>H31/H34</f>
        <v>10.891428571428571</v>
      </c>
    </row>
  </sheetData>
  <phoneticPr fontId="18" type="noConversion"/>
  <pageMargins left="0.75" right="0.75" top="1" bottom="1" header="0.5" footer="0.5"/>
  <pageSetup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4"/>
  <sheetViews>
    <sheetView topLeftCell="A10" workbookViewId="0">
      <selection activeCell="A34" sqref="A34"/>
    </sheetView>
  </sheetViews>
  <sheetFormatPr baseColWidth="10" defaultColWidth="8.83203125" defaultRowHeight="13"/>
  <cols>
    <col min="1" max="1" width="24" customWidth="1"/>
    <col min="2" max="2" width="22.5" customWidth="1"/>
    <col min="7" max="7" width="15.33203125" customWidth="1"/>
    <col min="11" max="11" width="14.83203125" customWidth="1"/>
  </cols>
  <sheetData>
    <row r="1" spans="1:11" ht="14">
      <c r="A1" s="62" t="s">
        <v>200</v>
      </c>
      <c r="B1" s="52"/>
      <c r="C1" s="52"/>
      <c r="D1" s="52"/>
      <c r="E1" s="52"/>
      <c r="F1" s="52"/>
      <c r="G1" s="52"/>
      <c r="H1" s="52"/>
    </row>
    <row r="2" spans="1:11" ht="14">
      <c r="A2" s="63"/>
      <c r="B2" s="52"/>
      <c r="C2" s="52"/>
      <c r="D2" s="52"/>
      <c r="E2" s="52"/>
      <c r="F2" s="52"/>
      <c r="G2" s="52"/>
      <c r="H2" s="52"/>
      <c r="J2" t="s">
        <v>202</v>
      </c>
      <c r="K2" t="s">
        <v>217</v>
      </c>
    </row>
    <row r="3" spans="1:11">
      <c r="A3" s="64" t="s">
        <v>143</v>
      </c>
      <c r="B3" s="51">
        <f>SUM(B4:B16)</f>
        <v>19</v>
      </c>
      <c r="C3" s="52"/>
      <c r="D3" s="52"/>
      <c r="E3" s="53" t="s">
        <v>144</v>
      </c>
      <c r="F3" s="52"/>
      <c r="G3" s="57">
        <v>0.38</v>
      </c>
      <c r="H3" s="52"/>
      <c r="J3" s="69" t="s">
        <v>201</v>
      </c>
      <c r="K3">
        <v>45</v>
      </c>
    </row>
    <row r="4" spans="1:11">
      <c r="A4" s="2" t="s">
        <v>188</v>
      </c>
      <c r="B4" s="54">
        <v>2</v>
      </c>
      <c r="C4" s="1">
        <v>1500</v>
      </c>
      <c r="D4" s="54">
        <f t="shared" ref="D4:D17" si="0">B4*C4</f>
        <v>3000</v>
      </c>
      <c r="E4" s="55"/>
      <c r="F4" s="52"/>
      <c r="G4" s="52"/>
      <c r="H4" s="52"/>
      <c r="J4" s="69" t="s">
        <v>203</v>
      </c>
      <c r="K4">
        <v>44</v>
      </c>
    </row>
    <row r="5" spans="1:11">
      <c r="A5" s="2" t="s">
        <v>186</v>
      </c>
      <c r="B5" s="54">
        <v>0</v>
      </c>
      <c r="C5" s="1">
        <v>1500</v>
      </c>
      <c r="D5" s="54">
        <f t="shared" si="0"/>
        <v>0</v>
      </c>
      <c r="E5" s="55"/>
      <c r="F5" s="52"/>
      <c r="G5" s="52"/>
      <c r="H5" s="52"/>
      <c r="J5" s="70" t="s">
        <v>204</v>
      </c>
      <c r="K5">
        <v>43</v>
      </c>
    </row>
    <row r="6" spans="1:11">
      <c r="A6" s="2" t="s">
        <v>187</v>
      </c>
      <c r="B6" s="54">
        <v>4</v>
      </c>
      <c r="C6" s="1">
        <v>1500</v>
      </c>
      <c r="D6" s="54">
        <f t="shared" si="0"/>
        <v>6000</v>
      </c>
      <c r="E6" s="55"/>
      <c r="F6" s="52"/>
      <c r="G6" s="52"/>
      <c r="H6" s="52"/>
      <c r="J6" s="15">
        <v>11</v>
      </c>
      <c r="K6">
        <v>42</v>
      </c>
    </row>
    <row r="7" spans="1:11">
      <c r="A7" s="2" t="s">
        <v>189</v>
      </c>
      <c r="B7" s="54">
        <v>2</v>
      </c>
      <c r="C7" s="1">
        <v>1500</v>
      </c>
      <c r="D7" s="54">
        <f t="shared" si="0"/>
        <v>3000</v>
      </c>
      <c r="E7" s="55"/>
      <c r="F7" s="52"/>
      <c r="G7" s="52"/>
      <c r="H7" s="52"/>
      <c r="J7" s="70" t="s">
        <v>205</v>
      </c>
      <c r="K7">
        <v>41</v>
      </c>
    </row>
    <row r="8" spans="1:11">
      <c r="A8" s="2" t="s">
        <v>190</v>
      </c>
      <c r="B8" s="54">
        <v>2</v>
      </c>
      <c r="C8" s="1">
        <v>1500</v>
      </c>
      <c r="D8" s="54">
        <f t="shared" si="0"/>
        <v>3000</v>
      </c>
      <c r="E8" s="55"/>
      <c r="F8" s="52"/>
      <c r="G8" s="52"/>
      <c r="H8" s="52"/>
      <c r="J8" s="70" t="s">
        <v>206</v>
      </c>
      <c r="K8">
        <v>40</v>
      </c>
    </row>
    <row r="9" spans="1:11">
      <c r="A9" s="2" t="s">
        <v>191</v>
      </c>
      <c r="B9" s="54">
        <v>3</v>
      </c>
      <c r="C9" s="1">
        <v>1500</v>
      </c>
      <c r="D9" s="54">
        <f t="shared" si="0"/>
        <v>4500</v>
      </c>
      <c r="E9" s="55"/>
      <c r="F9" s="52"/>
      <c r="G9" s="52"/>
      <c r="H9" s="52"/>
      <c r="J9" s="70" t="s">
        <v>207</v>
      </c>
      <c r="K9">
        <v>39</v>
      </c>
    </row>
    <row r="10" spans="1:11">
      <c r="A10" s="2" t="s">
        <v>192</v>
      </c>
      <c r="B10" s="54">
        <v>3</v>
      </c>
      <c r="C10" s="1">
        <v>1500</v>
      </c>
      <c r="D10" s="54">
        <f t="shared" si="0"/>
        <v>4500</v>
      </c>
      <c r="E10" s="55"/>
      <c r="F10" s="52"/>
      <c r="G10" s="52"/>
      <c r="H10" s="52"/>
      <c r="J10" s="70" t="s">
        <v>208</v>
      </c>
      <c r="K10">
        <v>38</v>
      </c>
    </row>
    <row r="11" spans="1:11">
      <c r="A11" s="2" t="s">
        <v>193</v>
      </c>
      <c r="B11" s="54">
        <v>3</v>
      </c>
      <c r="C11" s="1">
        <v>1500</v>
      </c>
      <c r="D11" s="54">
        <f t="shared" si="0"/>
        <v>4500</v>
      </c>
      <c r="E11" s="55"/>
      <c r="F11" s="52"/>
      <c r="G11" s="52"/>
      <c r="H11" s="52"/>
      <c r="J11" s="15">
        <v>21</v>
      </c>
      <c r="K11">
        <v>37</v>
      </c>
    </row>
    <row r="12" spans="1:11">
      <c r="A12" s="2" t="s">
        <v>194</v>
      </c>
      <c r="B12" s="54">
        <v>0</v>
      </c>
      <c r="C12" s="1">
        <v>1500</v>
      </c>
      <c r="D12" s="54">
        <f t="shared" si="0"/>
        <v>0</v>
      </c>
      <c r="E12" s="55"/>
      <c r="F12" s="52"/>
      <c r="G12" s="52"/>
      <c r="H12" s="52"/>
      <c r="J12" s="70" t="s">
        <v>209</v>
      </c>
      <c r="K12">
        <v>36</v>
      </c>
    </row>
    <row r="13" spans="1:11">
      <c r="A13" s="2" t="s">
        <v>195</v>
      </c>
      <c r="B13" s="4">
        <v>0</v>
      </c>
      <c r="C13" s="1">
        <v>1500</v>
      </c>
      <c r="D13" s="54">
        <f t="shared" si="0"/>
        <v>0</v>
      </c>
      <c r="E13" s="2"/>
      <c r="F13" s="2"/>
      <c r="G13" s="2"/>
      <c r="H13" s="2"/>
      <c r="J13" s="70" t="s">
        <v>210</v>
      </c>
      <c r="K13">
        <v>35</v>
      </c>
    </row>
    <row r="14" spans="1:11">
      <c r="A14" s="2" t="s">
        <v>1</v>
      </c>
      <c r="B14" s="54">
        <v>0</v>
      </c>
      <c r="C14" s="1">
        <v>1500</v>
      </c>
      <c r="D14" s="54">
        <f t="shared" si="0"/>
        <v>0</v>
      </c>
      <c r="E14" s="1"/>
      <c r="F14" s="1"/>
      <c r="G14" s="1"/>
      <c r="H14" s="1"/>
      <c r="J14" s="70" t="s">
        <v>211</v>
      </c>
      <c r="K14">
        <v>34</v>
      </c>
    </row>
    <row r="15" spans="1:11">
      <c r="A15" s="2" t="s">
        <v>196</v>
      </c>
      <c r="B15" s="4">
        <v>0</v>
      </c>
      <c r="C15" s="1">
        <v>1500</v>
      </c>
      <c r="D15" s="54">
        <f t="shared" si="0"/>
        <v>0</v>
      </c>
      <c r="E15" s="2"/>
      <c r="F15" s="2"/>
      <c r="G15" s="2"/>
      <c r="H15" s="2"/>
      <c r="J15" s="70" t="s">
        <v>212</v>
      </c>
      <c r="K15">
        <v>33</v>
      </c>
    </row>
    <row r="16" spans="1:11">
      <c r="A16" s="2" t="s">
        <v>197</v>
      </c>
      <c r="B16" s="54">
        <v>0</v>
      </c>
      <c r="C16" s="1">
        <v>1500</v>
      </c>
      <c r="D16" s="54">
        <f t="shared" si="0"/>
        <v>0</v>
      </c>
      <c r="E16" s="55"/>
      <c r="F16" s="52"/>
      <c r="G16" s="52"/>
      <c r="H16" s="52"/>
      <c r="J16" s="70" t="s">
        <v>213</v>
      </c>
      <c r="K16">
        <v>32</v>
      </c>
    </row>
    <row r="17" spans="1:11">
      <c r="A17" s="2" t="s">
        <v>198</v>
      </c>
      <c r="B17" s="54">
        <v>0</v>
      </c>
      <c r="C17" s="1">
        <v>1500</v>
      </c>
      <c r="D17" s="54">
        <f t="shared" si="0"/>
        <v>0</v>
      </c>
      <c r="E17" s="55"/>
      <c r="F17" s="52"/>
      <c r="G17" s="52"/>
      <c r="H17" s="52"/>
      <c r="J17" s="70" t="s">
        <v>214</v>
      </c>
      <c r="K17">
        <v>31</v>
      </c>
    </row>
    <row r="18" spans="1:11">
      <c r="A18" s="54"/>
      <c r="B18" s="52"/>
      <c r="C18" s="52"/>
      <c r="D18" s="52"/>
      <c r="E18" s="52"/>
      <c r="F18" s="52"/>
      <c r="G18" s="52"/>
      <c r="H18" s="52"/>
      <c r="J18" s="70" t="s">
        <v>215</v>
      </c>
      <c r="K18">
        <v>30</v>
      </c>
    </row>
    <row r="19" spans="1:11">
      <c r="A19" s="54" t="s">
        <v>99</v>
      </c>
      <c r="B19" s="52"/>
      <c r="C19" s="52"/>
      <c r="D19" s="51">
        <f>SUM(D4:D17)</f>
        <v>28500</v>
      </c>
      <c r="E19" s="52"/>
      <c r="F19" s="52"/>
      <c r="G19" s="52"/>
      <c r="H19" s="52"/>
      <c r="J19" s="70" t="s">
        <v>216</v>
      </c>
      <c r="K19">
        <v>29</v>
      </c>
    </row>
    <row r="20" spans="1:11" ht="14">
      <c r="A20" s="52"/>
      <c r="B20" s="56" t="s">
        <v>145</v>
      </c>
      <c r="C20" s="56" t="s">
        <v>146</v>
      </c>
      <c r="D20" s="56" t="s">
        <v>147</v>
      </c>
      <c r="E20" s="56" t="s">
        <v>146</v>
      </c>
      <c r="F20" s="56" t="s">
        <v>148</v>
      </c>
      <c r="G20" s="56" t="s">
        <v>149</v>
      </c>
      <c r="H20" s="56" t="s">
        <v>150</v>
      </c>
      <c r="J20" s="68"/>
    </row>
    <row r="21" spans="1:11">
      <c r="A21" s="52"/>
      <c r="B21" s="52"/>
      <c r="C21" s="52"/>
      <c r="D21" s="52"/>
      <c r="E21" s="52"/>
      <c r="F21" s="52"/>
      <c r="G21" s="52"/>
      <c r="H21" s="52"/>
    </row>
    <row r="22" spans="1:11">
      <c r="A22" s="52" t="s">
        <v>151</v>
      </c>
      <c r="B22" s="52">
        <v>3</v>
      </c>
      <c r="C22" s="52" t="s">
        <v>152</v>
      </c>
      <c r="D22" s="52">
        <f>D19</f>
        <v>28500</v>
      </c>
      <c r="E22" s="52" t="s">
        <v>153</v>
      </c>
      <c r="F22" s="52">
        <f t="shared" ref="F22:F32" si="1">D22*B22</f>
        <v>85500</v>
      </c>
      <c r="G22" s="57">
        <f>G3</f>
        <v>0.38</v>
      </c>
      <c r="H22" s="58">
        <f>F22*G22</f>
        <v>32490</v>
      </c>
    </row>
    <row r="23" spans="1:11">
      <c r="A23" s="52" t="s">
        <v>154</v>
      </c>
      <c r="B23" s="52">
        <v>1500</v>
      </c>
      <c r="C23" s="52" t="s">
        <v>6</v>
      </c>
      <c r="D23" s="52">
        <f>B3*2</f>
        <v>38</v>
      </c>
      <c r="E23" s="52" t="s">
        <v>155</v>
      </c>
      <c r="F23" s="52">
        <f t="shared" si="1"/>
        <v>57000</v>
      </c>
      <c r="G23" s="57">
        <f>G3</f>
        <v>0.38</v>
      </c>
      <c r="H23" s="58">
        <f t="shared" ref="H23:H32" si="2">F23*G23</f>
        <v>21660</v>
      </c>
    </row>
    <row r="24" spans="1:11">
      <c r="A24" s="52" t="s">
        <v>156</v>
      </c>
      <c r="B24" s="52">
        <v>1500</v>
      </c>
      <c r="C24" s="52" t="s">
        <v>6</v>
      </c>
      <c r="D24" s="52">
        <f>B3</f>
        <v>19</v>
      </c>
      <c r="E24" s="52" t="s">
        <v>155</v>
      </c>
      <c r="F24" s="52">
        <f t="shared" si="1"/>
        <v>28500</v>
      </c>
      <c r="G24" s="57">
        <f>G3</f>
        <v>0.38</v>
      </c>
      <c r="H24" s="58">
        <f t="shared" si="2"/>
        <v>10830</v>
      </c>
    </row>
    <row r="25" spans="1:11">
      <c r="A25" s="52" t="s">
        <v>157</v>
      </c>
      <c r="B25" s="52">
        <v>9100</v>
      </c>
      <c r="C25" s="52" t="s">
        <v>6</v>
      </c>
      <c r="D25" s="54">
        <f>B3</f>
        <v>19</v>
      </c>
      <c r="E25" s="52" t="s">
        <v>155</v>
      </c>
      <c r="F25" s="52">
        <f t="shared" si="1"/>
        <v>172900</v>
      </c>
      <c r="G25" s="57">
        <f>G3</f>
        <v>0.38</v>
      </c>
      <c r="H25" s="58">
        <f t="shared" si="2"/>
        <v>65702</v>
      </c>
    </row>
    <row r="26" spans="1:11">
      <c r="A26" s="52" t="s">
        <v>177</v>
      </c>
      <c r="B26" s="52">
        <v>5000</v>
      </c>
      <c r="C26" s="52" t="s">
        <v>6</v>
      </c>
      <c r="D26" s="54">
        <f>B3</f>
        <v>19</v>
      </c>
      <c r="E26" s="52" t="s">
        <v>155</v>
      </c>
      <c r="F26" s="52">
        <f t="shared" si="1"/>
        <v>95000</v>
      </c>
      <c r="G26" s="57">
        <f>G3</f>
        <v>0.38</v>
      </c>
      <c r="H26" s="58">
        <f t="shared" si="2"/>
        <v>36100</v>
      </c>
    </row>
    <row r="27" spans="1:11">
      <c r="A27" s="52" t="s">
        <v>159</v>
      </c>
      <c r="B27" s="52">
        <v>1000</v>
      </c>
      <c r="C27" s="52" t="s">
        <v>6</v>
      </c>
      <c r="D27" s="54">
        <f>B3</f>
        <v>19</v>
      </c>
      <c r="E27" s="52" t="s">
        <v>155</v>
      </c>
      <c r="F27" s="52">
        <f t="shared" si="1"/>
        <v>19000</v>
      </c>
      <c r="G27" s="57">
        <f>G3</f>
        <v>0.38</v>
      </c>
      <c r="H27" s="58">
        <f t="shared" si="2"/>
        <v>7220</v>
      </c>
    </row>
    <row r="28" spans="1:11">
      <c r="A28" s="52" t="s">
        <v>160</v>
      </c>
      <c r="B28" s="52">
        <v>1200</v>
      </c>
      <c r="C28" s="52" t="s">
        <v>6</v>
      </c>
      <c r="D28" s="52">
        <f>B3</f>
        <v>19</v>
      </c>
      <c r="E28" s="52" t="s">
        <v>155</v>
      </c>
      <c r="F28" s="52">
        <f t="shared" si="1"/>
        <v>22800</v>
      </c>
      <c r="G28" s="57">
        <f>G3</f>
        <v>0.38</v>
      </c>
      <c r="H28" s="58">
        <f t="shared" si="2"/>
        <v>8664</v>
      </c>
    </row>
    <row r="29" spans="1:11">
      <c r="A29" s="52" t="s">
        <v>161</v>
      </c>
      <c r="B29" s="52">
        <v>960</v>
      </c>
      <c r="C29" s="52" t="s">
        <v>6</v>
      </c>
      <c r="D29" s="52">
        <f>B3</f>
        <v>19</v>
      </c>
      <c r="E29" s="52" t="s">
        <v>155</v>
      </c>
      <c r="F29" s="52">
        <f t="shared" si="1"/>
        <v>18240</v>
      </c>
      <c r="G29" s="57">
        <f>G3</f>
        <v>0.38</v>
      </c>
      <c r="H29" s="58">
        <f>F29*G29</f>
        <v>6931.2</v>
      </c>
    </row>
    <row r="30" spans="1:11">
      <c r="A30" s="52" t="s">
        <v>162</v>
      </c>
      <c r="B30" s="52">
        <v>1200</v>
      </c>
      <c r="C30" s="52" t="s">
        <v>6</v>
      </c>
      <c r="D30" s="52">
        <f>B3</f>
        <v>19</v>
      </c>
      <c r="E30" s="52" t="s">
        <v>155</v>
      </c>
      <c r="F30" s="52">
        <f t="shared" si="1"/>
        <v>22800</v>
      </c>
      <c r="G30" s="57">
        <f>G3</f>
        <v>0.38</v>
      </c>
      <c r="H30" s="58">
        <f t="shared" si="2"/>
        <v>8664</v>
      </c>
    </row>
    <row r="31" spans="1:11">
      <c r="A31" s="52" t="s">
        <v>163</v>
      </c>
      <c r="B31" s="52">
        <v>4500</v>
      </c>
      <c r="C31" s="52" t="s">
        <v>6</v>
      </c>
      <c r="D31" s="52">
        <f>B3</f>
        <v>19</v>
      </c>
      <c r="E31" s="52" t="s">
        <v>155</v>
      </c>
      <c r="F31" s="52">
        <f>D31*B31</f>
        <v>85500</v>
      </c>
      <c r="G31" s="57">
        <f>G3</f>
        <v>0.38</v>
      </c>
      <c r="H31" s="58">
        <f>F31*G31</f>
        <v>32490</v>
      </c>
    </row>
    <row r="32" spans="1:11">
      <c r="A32" s="95" t="s">
        <v>165</v>
      </c>
      <c r="B32" s="52">
        <v>8</v>
      </c>
      <c r="C32" s="52" t="s">
        <v>152</v>
      </c>
      <c r="D32" s="52">
        <f>D19</f>
        <v>28500</v>
      </c>
      <c r="E32" s="52" t="s">
        <v>153</v>
      </c>
      <c r="F32" s="52">
        <f t="shared" si="1"/>
        <v>228000</v>
      </c>
      <c r="G32" s="57">
        <f>G3</f>
        <v>0.38</v>
      </c>
      <c r="H32" s="58">
        <f t="shared" si="2"/>
        <v>86640</v>
      </c>
    </row>
    <row r="33" spans="1:8">
      <c r="A33" s="52"/>
      <c r="B33" s="52"/>
      <c r="C33" s="52"/>
      <c r="D33" s="52"/>
      <c r="E33" s="52"/>
      <c r="F33" s="52"/>
      <c r="G33" s="52"/>
      <c r="H33" s="57"/>
    </row>
    <row r="34" spans="1:8" ht="14">
      <c r="A34" s="56"/>
      <c r="B34" s="52"/>
      <c r="C34" s="52"/>
      <c r="D34" s="52"/>
      <c r="E34" s="52"/>
      <c r="F34" s="52"/>
      <c r="G34" s="52"/>
      <c r="H34" s="52"/>
    </row>
    <row r="35" spans="1:8" ht="16">
      <c r="A35" s="60" t="s">
        <v>166</v>
      </c>
      <c r="B35" s="58"/>
      <c r="C35" s="57"/>
      <c r="D35" s="58"/>
      <c r="E35" s="52"/>
      <c r="F35" s="52"/>
      <c r="G35" s="52" t="s">
        <v>8</v>
      </c>
      <c r="H35" s="61">
        <f>SUM(H22:H34)</f>
        <v>317391.2</v>
      </c>
    </row>
    <row r="36" spans="1:8">
      <c r="A36" s="52"/>
      <c r="B36" s="58"/>
      <c r="C36" s="57"/>
      <c r="D36" s="58"/>
      <c r="E36" s="52"/>
      <c r="F36" s="52"/>
      <c r="G36" s="52" t="s">
        <v>178</v>
      </c>
      <c r="H36" s="58">
        <f>H35/360.3</f>
        <v>880.90813211212878</v>
      </c>
    </row>
    <row r="37" spans="1:8" ht="16">
      <c r="A37" s="60"/>
      <c r="B37" s="58"/>
      <c r="C37" s="57"/>
      <c r="D37" s="58"/>
      <c r="E37" s="52"/>
      <c r="F37" s="52"/>
      <c r="G37" s="52"/>
      <c r="H37" s="52"/>
    </row>
    <row r="38" spans="1:8">
      <c r="A38" s="52"/>
      <c r="B38" s="52"/>
      <c r="C38" s="52"/>
      <c r="D38" s="58"/>
      <c r="E38" s="52"/>
      <c r="F38" s="58"/>
      <c r="G38" s="52" t="s">
        <v>171</v>
      </c>
      <c r="H38" s="52">
        <f>D19</f>
        <v>28500</v>
      </c>
    </row>
    <row r="39" spans="1:8">
      <c r="A39" s="52"/>
      <c r="B39" s="52"/>
      <c r="C39" s="52"/>
      <c r="D39" s="52"/>
      <c r="E39" s="52"/>
      <c r="F39" s="52"/>
      <c r="G39" s="52" t="s">
        <v>152</v>
      </c>
      <c r="H39" s="58">
        <f>H35/H38</f>
        <v>11.136533333333334</v>
      </c>
    </row>
    <row r="40" spans="1:8" ht="14">
      <c r="A40" s="65" t="s">
        <v>179</v>
      </c>
      <c r="B40" s="65" t="s">
        <v>180</v>
      </c>
      <c r="C40" s="56" t="s">
        <v>147</v>
      </c>
      <c r="D40" s="65" t="s">
        <v>181</v>
      </c>
      <c r="E40" s="65" t="s">
        <v>150</v>
      </c>
      <c r="F40" s="65" t="s">
        <v>182</v>
      </c>
      <c r="G40" s="52"/>
      <c r="H40" s="58"/>
    </row>
    <row r="41" spans="1:8">
      <c r="A41" s="52"/>
      <c r="B41" s="52" t="s">
        <v>183</v>
      </c>
      <c r="C41" s="52">
        <v>1</v>
      </c>
      <c r="D41" s="52">
        <v>32</v>
      </c>
      <c r="E41" s="52">
        <f>C41*D41</f>
        <v>32</v>
      </c>
      <c r="F41" s="52">
        <v>18</v>
      </c>
      <c r="G41" s="52"/>
      <c r="H41" s="58"/>
    </row>
    <row r="42" spans="1:8">
      <c r="A42" s="52"/>
      <c r="B42" s="66" t="s">
        <v>184</v>
      </c>
      <c r="C42" s="52">
        <v>0</v>
      </c>
      <c r="D42" s="52">
        <v>20</v>
      </c>
      <c r="E42" s="52">
        <f>C42*D42</f>
        <v>0</v>
      </c>
      <c r="F42" s="52">
        <v>10</v>
      </c>
    </row>
    <row r="43" spans="1:8">
      <c r="A43" s="52"/>
      <c r="B43" s="66"/>
      <c r="C43" s="52"/>
      <c r="D43" s="52"/>
      <c r="E43" s="52"/>
      <c r="F43" s="52"/>
    </row>
    <row r="44" spans="1:8">
      <c r="A44" s="52"/>
      <c r="B44" s="66"/>
      <c r="C44" s="52"/>
      <c r="D44" s="51" t="s">
        <v>150</v>
      </c>
      <c r="E44" s="67">
        <f>SUM(E41:E43)/12</f>
        <v>2.6666666666666665</v>
      </c>
      <c r="F44" s="5" t="s">
        <v>185</v>
      </c>
    </row>
  </sheetData>
  <phoneticPr fontId="18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29"/>
  <sheetViews>
    <sheetView workbookViewId="0">
      <selection activeCell="B8" sqref="B8"/>
    </sheetView>
  </sheetViews>
  <sheetFormatPr baseColWidth="10" defaultColWidth="8.83203125" defaultRowHeight="13"/>
  <cols>
    <col min="1" max="1" width="31" customWidth="1"/>
    <col min="2" max="2" width="17.6640625" customWidth="1"/>
  </cols>
  <sheetData>
    <row r="1" spans="1:2">
      <c r="A1" s="31" t="s">
        <v>122</v>
      </c>
    </row>
    <row r="3" spans="1:2">
      <c r="A3" t="s">
        <v>118</v>
      </c>
      <c r="B3" s="42">
        <v>150</v>
      </c>
    </row>
    <row r="4" spans="1:2">
      <c r="A4" t="s">
        <v>117</v>
      </c>
      <c r="B4" s="42">
        <v>208</v>
      </c>
    </row>
    <row r="5" spans="1:2">
      <c r="B5" s="42"/>
    </row>
    <row r="6" spans="1:2">
      <c r="A6" s="5" t="s">
        <v>119</v>
      </c>
      <c r="B6" s="43">
        <f>(B3*1000)/(B4*1.732)</f>
        <v>416.37058092023454</v>
      </c>
    </row>
    <row r="7" spans="1:2">
      <c r="A7" s="28" t="s">
        <v>114</v>
      </c>
      <c r="B7" s="44">
        <v>2.4</v>
      </c>
    </row>
    <row r="8" spans="1:2">
      <c r="A8" s="5" t="s">
        <v>115</v>
      </c>
      <c r="B8" s="43">
        <f>100/B7</f>
        <v>41.666666666666671</v>
      </c>
    </row>
    <row r="9" spans="1:2">
      <c r="B9" s="42"/>
    </row>
    <row r="10" spans="1:2">
      <c r="A10" s="5" t="s">
        <v>116</v>
      </c>
      <c r="B10" s="43">
        <f>B6*B8</f>
        <v>17348.774205009773</v>
      </c>
    </row>
    <row r="11" spans="1:2">
      <c r="A11" s="5"/>
      <c r="B11" s="42"/>
    </row>
    <row r="12" spans="1:2">
      <c r="B12" s="42"/>
    </row>
    <row r="13" spans="1:2">
      <c r="B13" s="42"/>
    </row>
    <row r="14" spans="1:2">
      <c r="A14" s="31" t="s">
        <v>121</v>
      </c>
    </row>
    <row r="16" spans="1:2">
      <c r="A16" t="s">
        <v>118</v>
      </c>
      <c r="B16" s="42">
        <v>100</v>
      </c>
    </row>
    <row r="17" spans="1:2">
      <c r="A17" t="s">
        <v>117</v>
      </c>
      <c r="B17" s="42">
        <v>240</v>
      </c>
    </row>
    <row r="18" spans="1:2">
      <c r="B18" s="42"/>
    </row>
    <row r="19" spans="1:2">
      <c r="A19" s="5" t="s">
        <v>120</v>
      </c>
      <c r="B19" s="43">
        <f>(B16*1000)/B17</f>
        <v>416.66666666666669</v>
      </c>
    </row>
    <row r="20" spans="1:2">
      <c r="A20" s="28" t="s">
        <v>114</v>
      </c>
      <c r="B20" s="44">
        <v>2</v>
      </c>
    </row>
    <row r="21" spans="1:2">
      <c r="A21" s="5" t="s">
        <v>115</v>
      </c>
      <c r="B21" s="43">
        <f>100/B20</f>
        <v>50</v>
      </c>
    </row>
    <row r="22" spans="1:2">
      <c r="B22" s="42"/>
    </row>
    <row r="23" spans="1:2">
      <c r="A23" s="5" t="s">
        <v>116</v>
      </c>
      <c r="B23" s="43">
        <f>B19*B21</f>
        <v>20833.333333333336</v>
      </c>
    </row>
    <row r="24" spans="1:2">
      <c r="B24" s="42"/>
    </row>
    <row r="25" spans="1:2">
      <c r="B25" s="42"/>
    </row>
    <row r="26" spans="1:2">
      <c r="B26" s="42"/>
    </row>
    <row r="27" spans="1:2">
      <c r="B27" s="42"/>
    </row>
    <row r="28" spans="1:2">
      <c r="B28" s="42"/>
    </row>
    <row r="29" spans="1:2">
      <c r="B29" s="42"/>
    </row>
  </sheetData>
  <phoneticPr fontId="18" type="noConversion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90.1 2007 Exterior</vt:lpstr>
      <vt:lpstr>90.1 2007 Interior</vt:lpstr>
      <vt:lpstr>ASHRAE Space</vt:lpstr>
      <vt:lpstr>Voltage Drop</vt:lpstr>
      <vt:lpstr>Commercial Service</vt:lpstr>
      <vt:lpstr>Existing Dwelling Service</vt:lpstr>
      <vt:lpstr>Dwelling Service</vt:lpstr>
      <vt:lpstr>Multi-Dwelling Service</vt:lpstr>
      <vt:lpstr>Pad Mount Trans. Isc</vt:lpstr>
      <vt:lpstr>Line Current</vt:lpstr>
      <vt:lpstr>Fire Pump Generator</vt:lpstr>
      <vt:lpstr>Fire Pump Transformer</vt:lpstr>
    </vt:vector>
  </TitlesOfParts>
  <Company>BGA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Hydrick</dc:creator>
  <cp:lastModifiedBy>Jeffery Hydrick</cp:lastModifiedBy>
  <cp:lastPrinted>2007-05-30T17:00:18Z</cp:lastPrinted>
  <dcterms:created xsi:type="dcterms:W3CDTF">2007-05-14T15:16:54Z</dcterms:created>
  <dcterms:modified xsi:type="dcterms:W3CDTF">2019-04-24T18:44:14Z</dcterms:modified>
</cp:coreProperties>
</file>